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59" documentId="8_{DB54693E-FFA1-45DD-8BEB-D73952B9B587}" xr6:coauthVersionLast="47" xr6:coauthVersionMax="47" xr10:uidLastSave="{7FBEDBAB-D425-4C55-A399-A124C6D0B979}"/>
  <bookViews>
    <workbookView xWindow="29550" yWindow="570" windowWidth="26025" windowHeight="14550" tabRatio="821" activeTab="11" xr2:uid="{152C4009-0545-4D90-9F8B-2E6B4A6FA141}"/>
  </bookViews>
  <sheets>
    <sheet name="Disclaimer" sheetId="15" r:id="rId1"/>
    <sheet name="説明用アウトプットシート" sheetId="20" r:id="rId2"/>
    <sheet name="&gt;事業費入力" sheetId="24" r:id="rId3"/>
    <sheet name="事業費用概算" sheetId="14" r:id="rId4"/>
    <sheet name="＞各スキーム" sheetId="25" r:id="rId5"/>
    <sheet name="DB" sheetId="12" r:id="rId6"/>
    <sheet name="BT" sheetId="11" r:id="rId7"/>
    <sheet name="DBO" sheetId="13" r:id="rId8"/>
    <sheet name="BTO(RO)" sheetId="10" r:id="rId9"/>
    <sheet name="BOT・BOO" sheetId="9" r:id="rId10"/>
    <sheet name="O" sheetId="22" r:id="rId11"/>
    <sheet name="BT+コンセッション" sheetId="17" r:id="rId12"/>
  </sheets>
  <definedNames>
    <definedName name="_xlnm.Print_Area" localSheetId="9">BOT・BOO!$A$1:$CK$147</definedName>
    <definedName name="_xlnm.Print_Area" localSheetId="6">BT!$A$1:$BW$146</definedName>
    <definedName name="_xlnm.Print_Area" localSheetId="11">'BT+コンセッション'!$A$1:$CQ$166</definedName>
    <definedName name="_xlnm.Print_Area" localSheetId="8">'BTO(RO)'!$A$1:$BX$146</definedName>
    <definedName name="_xlnm.Print_Area" localSheetId="5">DB!$1:$144</definedName>
    <definedName name="_xlnm.Print_Area" localSheetId="7">DBO!$1:$144</definedName>
    <definedName name="_xlnm.Print_Area" localSheetId="0">Disclaimer!$B$2:$N$17</definedName>
    <definedName name="_xlnm.Print_Area" localSheetId="10">O!$A$1:$BW$144</definedName>
    <definedName name="_xlnm.Print_Area" localSheetId="3">事業費用概算!$A$1:$K$34</definedName>
    <definedName name="_xlnm.Print_Area" localSheetId="1">説明用アウトプットシート!$A$1:$AE$57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4" i="17" l="1"/>
  <c r="F147" i="17"/>
  <c r="F123" i="17"/>
  <c r="P130" i="17"/>
  <c r="CL20" i="17"/>
  <c r="CL18" i="17"/>
  <c r="BX19" i="22"/>
  <c r="BW18" i="10"/>
  <c r="F141" i="17"/>
  <c r="F121" i="9"/>
  <c r="F115" i="9"/>
  <c r="F97" i="9"/>
  <c r="F97" i="10"/>
  <c r="F116" i="10"/>
  <c r="F122" i="10"/>
  <c r="I7" i="20"/>
  <c r="H30" i="20" l="1"/>
  <c r="H31" i="20"/>
  <c r="H20" i="20"/>
  <c r="BT18" i="10"/>
  <c r="AV21" i="10"/>
  <c r="AI21" i="10"/>
  <c r="AA20" i="10"/>
  <c r="H31" i="14"/>
  <c r="G5" i="14"/>
  <c r="CI47" i="9" l="1"/>
  <c r="CI46" i="9"/>
  <c r="CI45" i="9"/>
  <c r="CI44" i="9"/>
  <c r="CI43" i="9"/>
  <c r="CI42" i="9"/>
  <c r="CI41" i="9"/>
  <c r="CI39" i="9"/>
  <c r="CI38" i="9"/>
  <c r="CI37" i="9"/>
  <c r="CI36" i="9"/>
  <c r="CI35" i="9"/>
  <c r="CI34" i="9"/>
  <c r="CI33" i="9"/>
  <c r="CI32" i="9"/>
  <c r="CI31" i="9"/>
  <c r="CI30" i="9"/>
  <c r="CI29" i="9"/>
  <c r="CI28" i="9"/>
  <c r="CI27" i="9"/>
  <c r="CI26" i="9"/>
  <c r="CI25" i="9"/>
  <c r="CI24" i="9"/>
  <c r="CI23" i="9"/>
  <c r="CI22" i="9"/>
  <c r="CI21" i="9"/>
  <c r="CI20" i="9"/>
  <c r="CI19" i="9"/>
  <c r="CI18" i="9"/>
  <c r="CE47" i="10"/>
  <c r="CE46" i="10"/>
  <c r="CE45" i="10"/>
  <c r="CE44" i="10"/>
  <c r="CE43" i="10"/>
  <c r="CE42" i="10"/>
  <c r="CE41" i="10"/>
  <c r="CE39" i="10"/>
  <c r="CE38" i="10"/>
  <c r="CE37" i="10"/>
  <c r="CE36" i="10"/>
  <c r="CE35" i="10"/>
  <c r="CE34" i="10"/>
  <c r="CE33" i="10"/>
  <c r="CE32" i="10"/>
  <c r="CE31" i="10"/>
  <c r="CE30" i="10"/>
  <c r="CE29" i="10"/>
  <c r="CE28" i="10"/>
  <c r="CE27" i="10"/>
  <c r="CE26" i="10"/>
  <c r="CE25" i="10"/>
  <c r="CE24" i="10"/>
  <c r="CE23" i="10"/>
  <c r="CE22" i="10"/>
  <c r="CE21" i="10"/>
  <c r="CE20" i="10"/>
  <c r="CE19" i="10"/>
  <c r="CE18" i="10"/>
  <c r="AJ47" i="17" l="1"/>
  <c r="AJ46" i="17"/>
  <c r="AJ45" i="17"/>
  <c r="AJ44" i="17"/>
  <c r="AJ43" i="17"/>
  <c r="AJ42" i="17"/>
  <c r="AJ41" i="17"/>
  <c r="AJ40" i="17"/>
  <c r="AJ39" i="17"/>
  <c r="AJ38" i="17"/>
  <c r="AJ37" i="17"/>
  <c r="AJ36" i="17"/>
  <c r="AJ35" i="17"/>
  <c r="AJ34" i="17"/>
  <c r="AJ33" i="17"/>
  <c r="AJ32" i="17"/>
  <c r="AJ31" i="17"/>
  <c r="AJ30" i="17"/>
  <c r="AJ29" i="17"/>
  <c r="AJ28" i="17"/>
  <c r="AJ27" i="17"/>
  <c r="AJ26" i="17"/>
  <c r="AJ25" i="17"/>
  <c r="AJ24" i="17"/>
  <c r="AJ23" i="17"/>
  <c r="AJ22" i="17"/>
  <c r="AJ21" i="17"/>
  <c r="AJ20" i="17"/>
  <c r="AJ19" i="17"/>
  <c r="AJ18" i="17"/>
  <c r="BA47" i="22"/>
  <c r="BA46" i="22"/>
  <c r="BA45" i="22"/>
  <c r="BA44" i="22"/>
  <c r="BA43" i="22"/>
  <c r="BA42" i="22"/>
  <c r="BA41" i="22"/>
  <c r="BA40" i="22"/>
  <c r="BA39" i="22"/>
  <c r="BA38" i="22"/>
  <c r="BA37" i="22"/>
  <c r="BA36" i="22"/>
  <c r="BA35" i="22"/>
  <c r="BA34" i="22"/>
  <c r="BA33" i="22"/>
  <c r="BA32" i="22"/>
  <c r="BA31" i="22"/>
  <c r="BA30" i="22"/>
  <c r="BA29" i="22"/>
  <c r="BA28" i="22"/>
  <c r="BA27" i="22"/>
  <c r="BA26" i="22"/>
  <c r="BA25" i="22"/>
  <c r="BA24" i="22"/>
  <c r="BA23" i="22"/>
  <c r="BA22" i="22"/>
  <c r="BA21" i="22"/>
  <c r="BA20" i="22"/>
  <c r="BA19" i="22"/>
  <c r="BA18" i="22"/>
  <c r="AH47" i="22"/>
  <c r="AH46" i="22"/>
  <c r="AH45" i="22"/>
  <c r="AH44" i="22"/>
  <c r="AH43" i="22"/>
  <c r="AH42" i="22"/>
  <c r="AH41" i="22"/>
  <c r="AH40" i="22"/>
  <c r="AH39" i="22"/>
  <c r="AH38" i="22"/>
  <c r="AH37" i="22"/>
  <c r="AH36" i="22"/>
  <c r="AH35" i="22"/>
  <c r="AH34" i="22"/>
  <c r="AH33" i="22"/>
  <c r="AH32" i="22"/>
  <c r="AH31" i="22"/>
  <c r="AH30" i="22"/>
  <c r="AH29" i="22"/>
  <c r="AH28" i="22"/>
  <c r="AH27" i="22"/>
  <c r="AH26" i="22"/>
  <c r="AH25" i="22"/>
  <c r="AH24" i="22"/>
  <c r="AH23" i="22"/>
  <c r="AH22" i="22"/>
  <c r="AH21" i="22"/>
  <c r="AH20" i="22"/>
  <c r="AH19" i="22"/>
  <c r="AH18" i="22"/>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47" i="11"/>
  <c r="AH46" i="11"/>
  <c r="AH45" i="11"/>
  <c r="AH44" i="11"/>
  <c r="AH43" i="11"/>
  <c r="AH42" i="11"/>
  <c r="AH41" i="11"/>
  <c r="AH40" i="11"/>
  <c r="AH39" i="11"/>
  <c r="AH38" i="11"/>
  <c r="AH37" i="11"/>
  <c r="AH36" i="11"/>
  <c r="AH35" i="11"/>
  <c r="AH34" i="11"/>
  <c r="AH33" i="11"/>
  <c r="AH32" i="11"/>
  <c r="AH31" i="11"/>
  <c r="AH30" i="11"/>
  <c r="AH29" i="11"/>
  <c r="AH28" i="11"/>
  <c r="AH27" i="11"/>
  <c r="AH26" i="11"/>
  <c r="AH25" i="11"/>
  <c r="AH24" i="11"/>
  <c r="AH23" i="11"/>
  <c r="AH22" i="11"/>
  <c r="AH21" i="11"/>
  <c r="AH20" i="11"/>
  <c r="AH19" i="11"/>
  <c r="AH18" i="11"/>
  <c r="AB8" i="20"/>
  <c r="V8" i="20"/>
  <c r="S8" i="20"/>
  <c r="P8" i="20"/>
  <c r="M8" i="20"/>
  <c r="J8" i="20"/>
  <c r="Z28" i="20"/>
  <c r="Y28" i="20"/>
  <c r="Y24" i="20"/>
  <c r="Z23" i="20"/>
  <c r="Z24" i="20" s="1"/>
  <c r="Y23" i="20"/>
  <c r="Z22" i="20"/>
  <c r="Y22" i="20"/>
  <c r="Y11" i="20"/>
  <c r="Y9" i="20" s="1"/>
  <c r="Y10" i="20"/>
  <c r="Y8" i="20"/>
  <c r="O32" i="22"/>
  <c r="O77" i="22" s="1"/>
  <c r="P32" i="22"/>
  <c r="P33" i="22" s="1"/>
  <c r="O139" i="22"/>
  <c r="O138" i="22"/>
  <c r="O136" i="22"/>
  <c r="P127" i="22"/>
  <c r="P126" i="22"/>
  <c r="P123" i="22"/>
  <c r="P122" i="22"/>
  <c r="P118" i="22"/>
  <c r="P117" i="22"/>
  <c r="P113" i="22"/>
  <c r="P112" i="22"/>
  <c r="P103" i="22"/>
  <c r="P102" i="22"/>
  <c r="P101" i="22"/>
  <c r="P98" i="22"/>
  <c r="P105" i="22" s="1"/>
  <c r="P95" i="22"/>
  <c r="P94" i="22"/>
  <c r="P96" i="22" s="1"/>
  <c r="P87" i="22"/>
  <c r="P83" i="22"/>
  <c r="O83" i="22"/>
  <c r="F67" i="22"/>
  <c r="P60" i="22"/>
  <c r="P57" i="22"/>
  <c r="P56" i="22"/>
  <c r="P47" i="22"/>
  <c r="F47" i="22"/>
  <c r="F46" i="22"/>
  <c r="P40" i="22"/>
  <c r="F27" i="22"/>
  <c r="O25" i="22" s="1"/>
  <c r="F21" i="22"/>
  <c r="F22" i="22" s="1"/>
  <c r="F23" i="22" s="1"/>
  <c r="W19" i="22"/>
  <c r="BR19" i="22" s="1"/>
  <c r="BO18" i="22"/>
  <c r="BF18" i="22"/>
  <c r="BF19" i="22" s="1"/>
  <c r="BF20" i="22" s="1"/>
  <c r="BF21" i="22" s="1"/>
  <c r="BF22" i="22" s="1"/>
  <c r="BF23" i="22" s="1"/>
  <c r="BF24" i="22" s="1"/>
  <c r="BF25" i="22" s="1"/>
  <c r="BF26" i="22" s="1"/>
  <c r="BF27" i="22" s="1"/>
  <c r="BF28" i="22" s="1"/>
  <c r="BF29" i="22" s="1"/>
  <c r="BF30" i="22" s="1"/>
  <c r="BF31" i="22" s="1"/>
  <c r="BF32" i="22" s="1"/>
  <c r="BF33" i="22" s="1"/>
  <c r="BF34" i="22" s="1"/>
  <c r="BF35" i="22" s="1"/>
  <c r="BF36" i="22" s="1"/>
  <c r="BF37" i="22" s="1"/>
  <c r="BF38" i="22" s="1"/>
  <c r="BF39" i="22" s="1"/>
  <c r="BF40" i="22" s="1"/>
  <c r="BF41" i="22" s="1"/>
  <c r="BF42" i="22" s="1"/>
  <c r="BF43" i="22" s="1"/>
  <c r="BF44" i="22" s="1"/>
  <c r="BF45" i="22" s="1"/>
  <c r="BF46" i="22" s="1"/>
  <c r="BF47" i="22" s="1"/>
  <c r="W18" i="22"/>
  <c r="O18" i="22"/>
  <c r="O137" i="22" s="1"/>
  <c r="AX47" i="17"/>
  <c r="AX46" i="17"/>
  <c r="AX45" i="17"/>
  <c r="AX44" i="17"/>
  <c r="AX43" i="17"/>
  <c r="AX42" i="17"/>
  <c r="AX41" i="17"/>
  <c r="AX20" i="17"/>
  <c r="AX19" i="17"/>
  <c r="AX18" i="17"/>
  <c r="P131" i="22" l="1"/>
  <c r="Y29" i="20"/>
  <c r="Z29" i="20"/>
  <c r="AA18" i="22"/>
  <c r="AP19" i="22"/>
  <c r="AQ19" i="22"/>
  <c r="AD18" i="22"/>
  <c r="AQ18" i="22"/>
  <c r="P124" i="22"/>
  <c r="Y18" i="22"/>
  <c r="Z18" i="22"/>
  <c r="AP18" i="22"/>
  <c r="AT18" i="22"/>
  <c r="BH18" i="22" s="1"/>
  <c r="F45" i="22"/>
  <c r="P46" i="22" s="1"/>
  <c r="P48" i="22" s="1"/>
  <c r="P49" i="22" s="1"/>
  <c r="P119" i="22"/>
  <c r="O33" i="22"/>
  <c r="P34" i="22"/>
  <c r="P35" i="22" s="1"/>
  <c r="AT19" i="22"/>
  <c r="BS19" i="22"/>
  <c r="AO19" i="22"/>
  <c r="Y19" i="22"/>
  <c r="BO19" i="22"/>
  <c r="AD19" i="22"/>
  <c r="W20" i="22"/>
  <c r="AA19" i="22"/>
  <c r="Z19" i="22"/>
  <c r="X19" i="22"/>
  <c r="P130" i="22"/>
  <c r="AR18" i="22" s="1"/>
  <c r="P129" i="22"/>
  <c r="AR19" i="22" s="1"/>
  <c r="O78" i="22"/>
  <c r="O79" i="22" s="1"/>
  <c r="O82" i="22" s="1"/>
  <c r="AO18" i="22"/>
  <c r="X18" i="22"/>
  <c r="BS18" i="22"/>
  <c r="V18" i="22"/>
  <c r="BR18" i="22"/>
  <c r="P107" i="22"/>
  <c r="P61" i="22" s="1"/>
  <c r="P62" i="22" s="1"/>
  <c r="P106" i="22"/>
  <c r="P58" i="22"/>
  <c r="P59" i="22" s="1"/>
  <c r="P114" i="22"/>
  <c r="O140" i="22"/>
  <c r="O141" i="22" s="1"/>
  <c r="K86" i="17"/>
  <c r="V19" i="22" l="1"/>
  <c r="V20" i="22" s="1"/>
  <c r="AY19" i="22"/>
  <c r="BL19" i="22" s="1"/>
  <c r="AY18" i="22"/>
  <c r="BL18" i="22" s="1"/>
  <c r="BP19" i="22"/>
  <c r="AW19" i="22"/>
  <c r="BK19" i="22" s="1"/>
  <c r="O46" i="22"/>
  <c r="AW18" i="22"/>
  <c r="BK18" i="22" s="1"/>
  <c r="BP18" i="22"/>
  <c r="O34" i="22"/>
  <c r="O35" i="22"/>
  <c r="O65" i="22" s="1"/>
  <c r="O48" i="22"/>
  <c r="O49" i="22" s="1"/>
  <c r="O66" i="22"/>
  <c r="O67" i="22" s="1"/>
  <c r="O80" i="22"/>
  <c r="O81" i="22" s="1"/>
  <c r="E77" i="22"/>
  <c r="AG18" i="22"/>
  <c r="AG19" i="22" s="1"/>
  <c r="P77" i="22"/>
  <c r="AT20" i="22"/>
  <c r="AD20" i="22"/>
  <c r="AR20" i="22"/>
  <c r="AA20" i="22"/>
  <c r="Y20" i="22"/>
  <c r="X20" i="22"/>
  <c r="BS20" i="22"/>
  <c r="AW20" i="22"/>
  <c r="BK20" i="22" s="1"/>
  <c r="BR20" i="22"/>
  <c r="BP20" i="22"/>
  <c r="BO20" i="22"/>
  <c r="W21" i="22"/>
  <c r="Z20" i="22"/>
  <c r="AY20" i="22"/>
  <c r="BL20" i="22" s="1"/>
  <c r="AS19" i="22"/>
  <c r="AX19" i="22"/>
  <c r="BM19" i="22"/>
  <c r="AE19" i="22"/>
  <c r="AB19" i="22"/>
  <c r="AC19" i="22" s="1"/>
  <c r="AF19" i="22"/>
  <c r="BT19" i="22"/>
  <c r="BH19" i="22"/>
  <c r="AX18" i="22"/>
  <c r="BM18" i="22"/>
  <c r="AB18" i="22"/>
  <c r="BT18" i="22"/>
  <c r="AF18" i="22"/>
  <c r="AE18" i="22"/>
  <c r="AS18" i="22"/>
  <c r="AI19" i="22" l="1"/>
  <c r="AJ19" i="22"/>
  <c r="F87" i="22"/>
  <c r="BX18" i="22"/>
  <c r="BQ18" i="22"/>
  <c r="BQ19" i="22"/>
  <c r="AV19" i="22"/>
  <c r="BJ19" i="22" s="1"/>
  <c r="AU19" i="22"/>
  <c r="AU18" i="22"/>
  <c r="AV18" i="22"/>
  <c r="AI18" i="22"/>
  <c r="BX20" i="22"/>
  <c r="BH20" i="22"/>
  <c r="P78" i="22"/>
  <c r="AO20" i="22" s="1"/>
  <c r="BQ20" i="22"/>
  <c r="AV20" i="22"/>
  <c r="BJ20" i="22" s="1"/>
  <c r="AB20" i="22"/>
  <c r="AX20" i="22"/>
  <c r="BT20" i="22"/>
  <c r="AF20" i="22"/>
  <c r="AE20" i="22"/>
  <c r="BM20" i="22"/>
  <c r="AC18" i="22"/>
  <c r="AG20" i="22"/>
  <c r="AP21" i="22"/>
  <c r="X21" i="22"/>
  <c r="V21" i="22"/>
  <c r="BS21" i="22"/>
  <c r="BQ21" i="22"/>
  <c r="AR21" i="22"/>
  <c r="AQ21" i="22"/>
  <c r="BP21" i="22"/>
  <c r="AD21" i="22"/>
  <c r="BR21" i="22"/>
  <c r="Z21" i="22"/>
  <c r="AA21" i="22"/>
  <c r="BO21" i="22"/>
  <c r="Y21" i="22"/>
  <c r="AO21" i="22"/>
  <c r="W22" i="22"/>
  <c r="BX21" i="22"/>
  <c r="AY21" i="22"/>
  <c r="AW21" i="22"/>
  <c r="AT21" i="22"/>
  <c r="AU21" i="22"/>
  <c r="BI21" i="22" s="1"/>
  <c r="AV21" i="22"/>
  <c r="BJ21" i="22" s="1"/>
  <c r="AU20" i="22"/>
  <c r="BI20" i="22" s="1"/>
  <c r="BT47" i="11"/>
  <c r="BT46" i="11"/>
  <c r="BT45" i="11"/>
  <c r="BT44" i="11"/>
  <c r="BT43" i="11"/>
  <c r="BT42" i="11"/>
  <c r="BT41" i="11"/>
  <c r="BT40" i="11"/>
  <c r="BT39" i="11"/>
  <c r="BT38" i="11"/>
  <c r="BT37" i="11"/>
  <c r="BT36" i="11"/>
  <c r="BT35" i="11"/>
  <c r="BT34" i="11"/>
  <c r="BT33" i="11"/>
  <c r="BT32" i="11"/>
  <c r="BT31" i="11"/>
  <c r="BT30" i="11"/>
  <c r="BT29" i="11"/>
  <c r="BT28" i="11"/>
  <c r="BT27" i="11"/>
  <c r="BT26" i="11"/>
  <c r="BT25" i="11"/>
  <c r="BT24" i="11"/>
  <c r="BT23" i="11"/>
  <c r="BT22" i="11"/>
  <c r="BT21" i="11"/>
  <c r="BT20" i="11"/>
  <c r="BT19" i="11"/>
  <c r="BT18" i="11"/>
  <c r="BT47" i="13"/>
  <c r="BT46" i="13"/>
  <c r="BT45" i="13"/>
  <c r="BT44" i="13"/>
  <c r="BT43" i="13"/>
  <c r="BT42" i="13"/>
  <c r="BT41" i="13"/>
  <c r="BT40" i="13"/>
  <c r="BT39" i="13"/>
  <c r="BT38" i="13"/>
  <c r="BT37" i="13"/>
  <c r="BT36" i="13"/>
  <c r="BT35" i="13"/>
  <c r="BT34" i="13"/>
  <c r="BT33" i="13"/>
  <c r="BT32" i="13"/>
  <c r="BT31" i="13"/>
  <c r="BT30" i="13"/>
  <c r="BT29" i="13"/>
  <c r="BT28" i="13"/>
  <c r="BT27" i="13"/>
  <c r="BT26" i="13"/>
  <c r="BT25" i="13"/>
  <c r="BT24" i="13"/>
  <c r="BT23" i="13"/>
  <c r="BT22" i="13"/>
  <c r="BT21" i="13"/>
  <c r="BT20" i="13"/>
  <c r="BT19" i="13"/>
  <c r="BT18" i="13"/>
  <c r="W18" i="9"/>
  <c r="BY18" i="12"/>
  <c r="BR18" i="12"/>
  <c r="BP18" i="12"/>
  <c r="BO18" i="12"/>
  <c r="AY18" i="12"/>
  <c r="AT18" i="12"/>
  <c r="BH18" i="12" s="1"/>
  <c r="AR18" i="12"/>
  <c r="AP18" i="12"/>
  <c r="AO18" i="12"/>
  <c r="AD18" i="12"/>
  <c r="Z18" i="12"/>
  <c r="Y18" i="12"/>
  <c r="X18" i="12"/>
  <c r="AX18" i="12" s="1"/>
  <c r="W18" i="12"/>
  <c r="W19" i="12" s="1"/>
  <c r="V18" i="12"/>
  <c r="AY20" i="11"/>
  <c r="BL20" i="11" s="1"/>
  <c r="W20" i="11"/>
  <c r="BS19" i="11"/>
  <c r="BR19" i="11"/>
  <c r="AW19" i="11"/>
  <c r="BK19" i="11" s="1"/>
  <c r="AT19" i="11"/>
  <c r="AR19" i="11"/>
  <c r="AP19" i="11"/>
  <c r="AO19" i="11"/>
  <c r="W19" i="11"/>
  <c r="BY18" i="11"/>
  <c r="AY18" i="11"/>
  <c r="AQ18" i="11"/>
  <c r="AP18" i="11"/>
  <c r="AG18" i="11"/>
  <c r="AD18" i="11"/>
  <c r="W18" i="11"/>
  <c r="BS18" i="13"/>
  <c r="AT18" i="13"/>
  <c r="W18" i="13"/>
  <c r="BR18" i="13" s="1"/>
  <c r="V18" i="13"/>
  <c r="W18" i="17"/>
  <c r="W18" i="10"/>
  <c r="O100" i="17"/>
  <c r="P100" i="17"/>
  <c r="P83" i="9"/>
  <c r="O83" i="9"/>
  <c r="P83" i="10"/>
  <c r="O83" i="10"/>
  <c r="P83" i="13"/>
  <c r="O83" i="13"/>
  <c r="P83" i="11"/>
  <c r="O83" i="11"/>
  <c r="P83" i="12"/>
  <c r="O83" i="12"/>
  <c r="P133" i="9"/>
  <c r="BA18" i="11" l="1"/>
  <c r="BA19" i="11"/>
  <c r="AT18" i="9"/>
  <c r="AD18" i="9"/>
  <c r="Y18" i="9"/>
  <c r="AO18" i="9"/>
  <c r="BP18" i="9"/>
  <c r="BO18" i="9"/>
  <c r="AQ18" i="9"/>
  <c r="BA18" i="9" s="1"/>
  <c r="AP18" i="9"/>
  <c r="X18" i="9"/>
  <c r="BM18" i="9" s="1"/>
  <c r="CE18" i="9"/>
  <c r="CA18" i="10"/>
  <c r="X18" i="10"/>
  <c r="AM19" i="22"/>
  <c r="AR19" i="12"/>
  <c r="V19" i="12"/>
  <c r="AE18" i="12"/>
  <c r="AF18" i="12"/>
  <c r="BT18" i="12"/>
  <c r="AW18" i="12"/>
  <c r="BK18" i="12" s="1"/>
  <c r="BU20" i="22"/>
  <c r="AK20" i="22"/>
  <c r="AK21" i="22"/>
  <c r="AG21" i="22"/>
  <c r="BH21" i="22"/>
  <c r="AI20" i="22"/>
  <c r="BU19" i="22"/>
  <c r="AK19" i="22"/>
  <c r="BU18" i="22"/>
  <c r="AK18" i="22"/>
  <c r="AC20" i="22"/>
  <c r="AJ20" i="22" s="1"/>
  <c r="BK21" i="22"/>
  <c r="AJ18" i="22"/>
  <c r="BL21" i="22"/>
  <c r="BI19" i="22"/>
  <c r="BN19" i="22" s="1"/>
  <c r="BN20" i="22"/>
  <c r="BV20" i="22" s="1"/>
  <c r="BR22" i="22"/>
  <c r="X22" i="22"/>
  <c r="BP22" i="22"/>
  <c r="V22" i="22"/>
  <c r="BS22" i="22"/>
  <c r="AY22" i="22"/>
  <c r="BL22" i="22" s="1"/>
  <c r="AG22" i="22"/>
  <c r="BQ22" i="22"/>
  <c r="BO22" i="22"/>
  <c r="AW22" i="22"/>
  <c r="BK22" i="22" s="1"/>
  <c r="AQ22" i="22"/>
  <c r="AP22" i="22"/>
  <c r="AD22" i="22"/>
  <c r="Z22" i="22"/>
  <c r="AT22" i="22"/>
  <c r="AA22" i="22"/>
  <c r="Y22" i="22"/>
  <c r="W23" i="22"/>
  <c r="AR22" i="22"/>
  <c r="AO22" i="22"/>
  <c r="BX22" i="22"/>
  <c r="AU22" i="22"/>
  <c r="BI22" i="22" s="1"/>
  <c r="AV22" i="22"/>
  <c r="BJ22" i="22" s="1"/>
  <c r="BJ18" i="22"/>
  <c r="AS21" i="22"/>
  <c r="AX21" i="22"/>
  <c r="AF21" i="22"/>
  <c r="BT21" i="22"/>
  <c r="BU21" i="22" s="1"/>
  <c r="BM21" i="22"/>
  <c r="AE21" i="22"/>
  <c r="AB21" i="22"/>
  <c r="AC21" i="22" s="1"/>
  <c r="P79" i="22"/>
  <c r="P82" i="22" s="1"/>
  <c r="BI18" i="22"/>
  <c r="W19" i="17"/>
  <c r="BH18" i="9"/>
  <c r="AW18" i="9"/>
  <c r="V18" i="9"/>
  <c r="Z18" i="9"/>
  <c r="W19" i="9"/>
  <c r="AA18" i="9"/>
  <c r="AP19" i="12"/>
  <c r="AQ19" i="12"/>
  <c r="W20" i="12"/>
  <c r="AY19" i="12"/>
  <c r="BL19" i="12" s="1"/>
  <c r="BP19" i="12"/>
  <c r="BO19" i="12"/>
  <c r="AW19" i="12"/>
  <c r="AD19" i="12"/>
  <c r="AA19" i="12"/>
  <c r="BY19" i="12"/>
  <c r="Z19" i="12"/>
  <c r="Y19" i="12"/>
  <c r="BR19" i="12"/>
  <c r="X19" i="12"/>
  <c r="BT19" i="12" s="1"/>
  <c r="BS19" i="12"/>
  <c r="AO19" i="12"/>
  <c r="AT19" i="12"/>
  <c r="BL18" i="12"/>
  <c r="BM18" i="12"/>
  <c r="AB18" i="12"/>
  <c r="AQ18" i="12"/>
  <c r="AA18" i="12"/>
  <c r="W21" i="11"/>
  <c r="BY20" i="11"/>
  <c r="AR20" i="11"/>
  <c r="AA20" i="11"/>
  <c r="AD20" i="11"/>
  <c r="BP20" i="11"/>
  <c r="AW20" i="11"/>
  <c r="BK20" i="11" s="1"/>
  <c r="X20" i="11"/>
  <c r="Y20" i="11"/>
  <c r="BR20" i="11"/>
  <c r="BS20" i="11"/>
  <c r="BL18" i="11"/>
  <c r="AQ19" i="11"/>
  <c r="AA19" i="11"/>
  <c r="BO19" i="11"/>
  <c r="BP19" i="11"/>
  <c r="AD19" i="11"/>
  <c r="BY19" i="11"/>
  <c r="AY19" i="11"/>
  <c r="BL19" i="11" s="1"/>
  <c r="BH19" i="11"/>
  <c r="X19" i="11"/>
  <c r="Y19" i="11"/>
  <c r="Z19" i="11"/>
  <c r="BP18" i="11"/>
  <c r="V18" i="11"/>
  <c r="V19" i="11" s="1"/>
  <c r="V20" i="11" s="1"/>
  <c r="AO18" i="11"/>
  <c r="X18" i="11"/>
  <c r="BO18" i="11"/>
  <c r="AW18" i="11"/>
  <c r="AR18" i="11"/>
  <c r="Y18" i="11"/>
  <c r="Z18" i="11"/>
  <c r="AT18" i="11"/>
  <c r="AA18" i="11"/>
  <c r="BR18" i="11"/>
  <c r="BS18" i="11"/>
  <c r="BH18" i="13"/>
  <c r="AY18" i="13"/>
  <c r="AR18" i="13"/>
  <c r="AV18" i="13"/>
  <c r="AU18" i="13"/>
  <c r="AD18" i="13"/>
  <c r="BP18" i="13"/>
  <c r="AW18" i="13"/>
  <c r="AA18" i="13"/>
  <c r="BY18" i="13"/>
  <c r="BQ18" i="13"/>
  <c r="AQ18" i="13"/>
  <c r="BO18" i="13"/>
  <c r="AP18" i="13"/>
  <c r="AO18" i="13"/>
  <c r="AG18" i="13"/>
  <c r="X18" i="13"/>
  <c r="Y18" i="13"/>
  <c r="BX18" i="13"/>
  <c r="Z18" i="13"/>
  <c r="W19" i="13"/>
  <c r="W20" i="17"/>
  <c r="X18" i="17"/>
  <c r="CD18" i="17" s="1"/>
  <c r="W19" i="10"/>
  <c r="BW19" i="10" s="1"/>
  <c r="BA18" i="13" l="1"/>
  <c r="BA19" i="13"/>
  <c r="BA19" i="12"/>
  <c r="BA20" i="12"/>
  <c r="BA18" i="12"/>
  <c r="BA20" i="11"/>
  <c r="BA19" i="9"/>
  <c r="AF18" i="9"/>
  <c r="AE18" i="9"/>
  <c r="AX18" i="9"/>
  <c r="AH18" i="9"/>
  <c r="AH19" i="9"/>
  <c r="CE19" i="9"/>
  <c r="AB18" i="9"/>
  <c r="AC18" i="9" s="1"/>
  <c r="CA19" i="10"/>
  <c r="AM20" i="22"/>
  <c r="AH20" i="12"/>
  <c r="AH19" i="12"/>
  <c r="AH18" i="12"/>
  <c r="AS18" i="12"/>
  <c r="AS19" i="12"/>
  <c r="AI21" i="22"/>
  <c r="AJ21" i="22" s="1"/>
  <c r="AK22" i="22"/>
  <c r="AS22" i="22"/>
  <c r="BV19" i="22"/>
  <c r="BT22" i="22"/>
  <c r="BU22" i="22" s="1"/>
  <c r="AX22" i="22"/>
  <c r="AF22" i="22"/>
  <c r="AE22" i="22"/>
  <c r="BM22" i="22"/>
  <c r="AB22" i="22"/>
  <c r="BN18" i="22"/>
  <c r="P80" i="22"/>
  <c r="AP20" i="22" s="1"/>
  <c r="AZ18" i="22"/>
  <c r="AZ19" i="22" s="1"/>
  <c r="BB19" i="22" s="1"/>
  <c r="BC19" i="22" s="1"/>
  <c r="F77" i="22"/>
  <c r="AQ20" i="22"/>
  <c r="AM18" i="22"/>
  <c r="BN21" i="22"/>
  <c r="BV21" i="22" s="1"/>
  <c r="BH22" i="22"/>
  <c r="AR23" i="22"/>
  <c r="AP23" i="22"/>
  <c r="Z23" i="22"/>
  <c r="BR23" i="22"/>
  <c r="BP23" i="22"/>
  <c r="BO23" i="22"/>
  <c r="AW23" i="22"/>
  <c r="BK23" i="22" s="1"/>
  <c r="AD23" i="22"/>
  <c r="BQ23" i="22"/>
  <c r="AG23" i="22"/>
  <c r="AA23" i="22"/>
  <c r="AQ23" i="22"/>
  <c r="W24" i="22"/>
  <c r="AO23" i="22"/>
  <c r="Y23" i="22"/>
  <c r="AT23" i="22"/>
  <c r="BX23" i="22"/>
  <c r="X23" i="22"/>
  <c r="BS23" i="22"/>
  <c r="V23" i="22"/>
  <c r="AY23" i="22"/>
  <c r="BL23" i="22" s="1"/>
  <c r="AV23" i="22"/>
  <c r="BJ23" i="22" s="1"/>
  <c r="AU23" i="22"/>
  <c r="AY18" i="17"/>
  <c r="AH18" i="17"/>
  <c r="AB18" i="17"/>
  <c r="X19" i="17"/>
  <c r="AY19" i="17" s="1"/>
  <c r="BK18" i="9"/>
  <c r="X19" i="9"/>
  <c r="Y19" i="9"/>
  <c r="AO19" i="9"/>
  <c r="BS19" i="9"/>
  <c r="AQ19" i="9"/>
  <c r="Z19" i="9"/>
  <c r="W20" i="9"/>
  <c r="AP19" i="9"/>
  <c r="BO19" i="9"/>
  <c r="AT19" i="9"/>
  <c r="BP19" i="9"/>
  <c r="AA19" i="9"/>
  <c r="AH20" i="9" s="1"/>
  <c r="AW19" i="9"/>
  <c r="BK19" i="9" s="1"/>
  <c r="V19" i="9"/>
  <c r="AD19" i="9"/>
  <c r="V20" i="12"/>
  <c r="BY20" i="12"/>
  <c r="AY20" i="12"/>
  <c r="X20" i="12"/>
  <c r="BT20" i="12" s="1"/>
  <c r="AW20" i="12"/>
  <c r="BK20" i="12" s="1"/>
  <c r="BS20" i="12"/>
  <c r="AR20" i="12"/>
  <c r="BR20" i="12"/>
  <c r="BP20" i="12"/>
  <c r="W21" i="12"/>
  <c r="BH19" i="12"/>
  <c r="BK19" i="12"/>
  <c r="AF19" i="12"/>
  <c r="AB19" i="12"/>
  <c r="AX19" i="12"/>
  <c r="AE19" i="12"/>
  <c r="BM19" i="12"/>
  <c r="AC18" i="12"/>
  <c r="BK18" i="11"/>
  <c r="AX18" i="11"/>
  <c r="AF18" i="11"/>
  <c r="AE18" i="11"/>
  <c r="AB18" i="11"/>
  <c r="BM18" i="11"/>
  <c r="AC18" i="11"/>
  <c r="AF20" i="11"/>
  <c r="AX20" i="11"/>
  <c r="BM20" i="11"/>
  <c r="AE20" i="11"/>
  <c r="AB20" i="11"/>
  <c r="AS18" i="11"/>
  <c r="BS21" i="11"/>
  <c r="BR21" i="11"/>
  <c r="BP21" i="11"/>
  <c r="AW21" i="11"/>
  <c r="BK21" i="11" s="1"/>
  <c r="AD21" i="11"/>
  <c r="W22" i="11"/>
  <c r="AY21" i="11"/>
  <c r="BL21" i="11" s="1"/>
  <c r="AA21" i="11"/>
  <c r="V21" i="11"/>
  <c r="AT21" i="11"/>
  <c r="AR21" i="11"/>
  <c r="AQ21" i="11"/>
  <c r="AP21" i="11"/>
  <c r="BO21" i="11"/>
  <c r="AO21" i="11"/>
  <c r="Z21" i="11"/>
  <c r="Y21" i="11"/>
  <c r="X21" i="11"/>
  <c r="BH18" i="11"/>
  <c r="AG19" i="11"/>
  <c r="AS19" i="11"/>
  <c r="AX19" i="11"/>
  <c r="BM19" i="11"/>
  <c r="AF19" i="11"/>
  <c r="AE19" i="11"/>
  <c r="AB19" i="11"/>
  <c r="AC19" i="11" s="1"/>
  <c r="AW19" i="13"/>
  <c r="BK19" i="13" s="1"/>
  <c r="AG19" i="13"/>
  <c r="BX19" i="13"/>
  <c r="BY19" i="13"/>
  <c r="AP19" i="13"/>
  <c r="Y19" i="13"/>
  <c r="AO19" i="13"/>
  <c r="X19" i="13"/>
  <c r="BR19" i="13"/>
  <c r="AD19" i="13"/>
  <c r="AR19" i="13"/>
  <c r="V19" i="13"/>
  <c r="AQ19" i="13"/>
  <c r="AY19" i="13"/>
  <c r="BL19" i="13" s="1"/>
  <c r="AA19" i="13"/>
  <c r="AV19" i="13"/>
  <c r="BJ19" i="13" s="1"/>
  <c r="Z19" i="13"/>
  <c r="W20" i="13"/>
  <c r="BS19" i="13"/>
  <c r="BQ19" i="13"/>
  <c r="BP19" i="13"/>
  <c r="BO19" i="13"/>
  <c r="BU19" i="13" s="1"/>
  <c r="AU19" i="13"/>
  <c r="BI19" i="13" s="1"/>
  <c r="AT19" i="13"/>
  <c r="BK18" i="13"/>
  <c r="BI18" i="13"/>
  <c r="AB18" i="13"/>
  <c r="BM18" i="13"/>
  <c r="AE18" i="13"/>
  <c r="AF18" i="13"/>
  <c r="AX18" i="13"/>
  <c r="BJ18" i="13"/>
  <c r="AS18" i="13"/>
  <c r="BL18" i="13"/>
  <c r="BU18" i="13"/>
  <c r="AK19" i="13"/>
  <c r="AK18" i="13"/>
  <c r="X20" i="17"/>
  <c r="AH20" i="17" s="1"/>
  <c r="W21" i="17"/>
  <c r="X19" i="10"/>
  <c r="W20" i="10"/>
  <c r="BW20" i="10" s="1"/>
  <c r="AS21" i="11" l="1"/>
  <c r="BA20" i="13"/>
  <c r="BD19" i="22"/>
  <c r="AM21" i="22"/>
  <c r="AI22" i="22"/>
  <c r="P81" i="22"/>
  <c r="AS23" i="22"/>
  <c r="AK23" i="22"/>
  <c r="AZ20" i="22"/>
  <c r="AZ21" i="22" s="1"/>
  <c r="W25" i="22"/>
  <c r="AW24" i="22"/>
  <c r="BK24" i="22" s="1"/>
  <c r="AG24" i="22"/>
  <c r="BQ24" i="22"/>
  <c r="AY24" i="22"/>
  <c r="BL24" i="22" s="1"/>
  <c r="BO24" i="22"/>
  <c r="AT24" i="22"/>
  <c r="AA24" i="22"/>
  <c r="AR24" i="22"/>
  <c r="Z24" i="22"/>
  <c r="BR24" i="22"/>
  <c r="BP24" i="22"/>
  <c r="AD24" i="22"/>
  <c r="X24" i="22"/>
  <c r="Y24" i="22"/>
  <c r="AO24" i="22"/>
  <c r="V24" i="22"/>
  <c r="BS24" i="22"/>
  <c r="AP24" i="22"/>
  <c r="BX24" i="22"/>
  <c r="AQ24" i="22"/>
  <c r="AV24" i="22"/>
  <c r="AU24" i="22"/>
  <c r="BI24" i="22" s="1"/>
  <c r="BI23" i="22"/>
  <c r="BB18" i="22"/>
  <c r="BH23" i="22"/>
  <c r="BV18" i="22"/>
  <c r="AS20" i="22"/>
  <c r="BN22" i="22"/>
  <c r="BV22" i="22" s="1"/>
  <c r="AB23" i="22"/>
  <c r="AC23" i="22" s="1"/>
  <c r="BT23" i="22"/>
  <c r="BU23" i="22" s="1"/>
  <c r="AX23" i="22"/>
  <c r="AF23" i="22"/>
  <c r="AE23" i="22"/>
  <c r="BM23" i="22"/>
  <c r="AC22" i="22"/>
  <c r="AY20" i="17"/>
  <c r="AH19" i="17"/>
  <c r="AB19" i="17"/>
  <c r="AB20" i="17"/>
  <c r="AI19" i="11"/>
  <c r="AJ19" i="11" s="1"/>
  <c r="AB19" i="9"/>
  <c r="AC19" i="9" s="1"/>
  <c r="AX19" i="9"/>
  <c r="BM19" i="9"/>
  <c r="AE19" i="9"/>
  <c r="AF19" i="9"/>
  <c r="BH19" i="9"/>
  <c r="BA20" i="9"/>
  <c r="V20" i="9"/>
  <c r="BP20" i="9"/>
  <c r="X20" i="9"/>
  <c r="BS20" i="9"/>
  <c r="W21" i="9"/>
  <c r="AW20" i="9"/>
  <c r="BK20" i="9" s="1"/>
  <c r="BM20" i="12"/>
  <c r="AB20" i="12"/>
  <c r="AE20" i="12"/>
  <c r="AX20" i="12"/>
  <c r="AF20" i="12"/>
  <c r="AC19" i="12"/>
  <c r="BL20" i="12"/>
  <c r="AR21" i="12"/>
  <c r="AW21" i="12"/>
  <c r="BK21" i="12" s="1"/>
  <c r="AT21" i="12"/>
  <c r="AA21" i="12"/>
  <c r="Z21" i="12"/>
  <c r="W22" i="12"/>
  <c r="AQ21" i="12"/>
  <c r="Y21" i="12"/>
  <c r="AP21" i="12"/>
  <c r="X21" i="12"/>
  <c r="BT21" i="12" s="1"/>
  <c r="V21" i="12"/>
  <c r="BS21" i="12"/>
  <c r="BR21" i="12"/>
  <c r="AO21" i="12"/>
  <c r="BP21" i="12"/>
  <c r="BO21" i="12"/>
  <c r="AY21" i="12"/>
  <c r="BL21" i="12" s="1"/>
  <c r="AD21" i="12"/>
  <c r="BH21" i="11"/>
  <c r="AX21" i="11"/>
  <c r="AE21" i="11"/>
  <c r="AF21" i="11"/>
  <c r="AB21" i="11"/>
  <c r="BM21" i="11"/>
  <c r="AC21" i="11"/>
  <c r="AW22" i="11"/>
  <c r="AR22" i="11"/>
  <c r="BO22" i="11"/>
  <c r="AD22" i="11"/>
  <c r="AG22" i="11"/>
  <c r="BR22" i="11"/>
  <c r="AQ22" i="11"/>
  <c r="V22" i="11"/>
  <c r="BP22" i="11"/>
  <c r="AP22" i="11"/>
  <c r="AO22" i="11"/>
  <c r="BS22" i="11"/>
  <c r="AA22" i="11"/>
  <c r="Z22" i="11"/>
  <c r="Y22" i="11"/>
  <c r="X22" i="11"/>
  <c r="AY22" i="11"/>
  <c r="BL22" i="11" s="1"/>
  <c r="AT22" i="11"/>
  <c r="W23" i="11"/>
  <c r="AI18" i="11"/>
  <c r="AG20" i="11"/>
  <c r="AG21" i="11" s="1"/>
  <c r="BH19" i="13"/>
  <c r="AI19" i="13"/>
  <c r="BM19" i="13"/>
  <c r="AX19" i="13"/>
  <c r="AF19" i="13"/>
  <c r="AE19" i="13"/>
  <c r="AB19" i="13"/>
  <c r="AC19" i="13" s="1"/>
  <c r="AS19" i="13"/>
  <c r="AC18" i="13"/>
  <c r="BN18" i="13"/>
  <c r="AI18" i="13"/>
  <c r="BR20" i="13"/>
  <c r="X20" i="13"/>
  <c r="BQ20" i="13"/>
  <c r="AG20" i="13"/>
  <c r="BY20" i="13"/>
  <c r="AY20" i="13"/>
  <c r="BL20" i="13" s="1"/>
  <c r="AD20" i="13"/>
  <c r="BX20" i="13"/>
  <c r="AA20" i="13"/>
  <c r="AW20" i="13"/>
  <c r="W21" i="13"/>
  <c r="AV20" i="13"/>
  <c r="Y20" i="13"/>
  <c r="BS20" i="13"/>
  <c r="V20" i="13"/>
  <c r="BP20" i="13"/>
  <c r="AU20" i="13"/>
  <c r="BI20" i="13" s="1"/>
  <c r="AR20" i="13"/>
  <c r="W22" i="17"/>
  <c r="X21" i="17"/>
  <c r="AB21" i="17" s="1"/>
  <c r="W21" i="10"/>
  <c r="X20" i="10"/>
  <c r="CE21" i="9" l="1"/>
  <c r="CA21" i="10"/>
  <c r="AJ19" i="13"/>
  <c r="BB20" i="22"/>
  <c r="BC20" i="22" s="1"/>
  <c r="AZ22" i="22"/>
  <c r="BB22" i="22" s="1"/>
  <c r="BC22" i="22" s="1"/>
  <c r="BB21" i="22"/>
  <c r="BC21" i="22" s="1"/>
  <c r="AI23" i="22"/>
  <c r="AJ23" i="22" s="1"/>
  <c r="BH24" i="22"/>
  <c r="AJ22" i="22"/>
  <c r="BN23" i="22"/>
  <c r="BV23" i="22" s="1"/>
  <c r="BQ25" i="22"/>
  <c r="BO25" i="22"/>
  <c r="AY25" i="22"/>
  <c r="BL25" i="22" s="1"/>
  <c r="AA25" i="22"/>
  <c r="W26" i="22"/>
  <c r="AR25" i="22"/>
  <c r="Z25" i="22"/>
  <c r="AQ25" i="22"/>
  <c r="Y25" i="22"/>
  <c r="AP25" i="22"/>
  <c r="X25" i="22"/>
  <c r="BP25" i="22"/>
  <c r="AD25" i="22"/>
  <c r="BS25" i="22"/>
  <c r="BX25" i="22"/>
  <c r="BR25" i="22"/>
  <c r="AT25" i="22"/>
  <c r="AO25" i="22"/>
  <c r="AW25" i="22"/>
  <c r="BK25" i="22" s="1"/>
  <c r="AG25" i="22"/>
  <c r="V25" i="22"/>
  <c r="AV25" i="22"/>
  <c r="BJ25" i="22" s="1"/>
  <c r="AU25" i="22"/>
  <c r="BC18" i="22"/>
  <c r="BM24" i="22"/>
  <c r="AE24" i="22"/>
  <c r="AF24" i="22"/>
  <c r="AB24" i="22"/>
  <c r="AC24" i="22" s="1"/>
  <c r="BT24" i="22"/>
  <c r="BU24" i="22" s="1"/>
  <c r="AX24" i="22"/>
  <c r="AS24" i="22"/>
  <c r="BJ24" i="22"/>
  <c r="AY21" i="17"/>
  <c r="AH21" i="17"/>
  <c r="AF20" i="9"/>
  <c r="AB20" i="9"/>
  <c r="AE20" i="9"/>
  <c r="BM20" i="9"/>
  <c r="AX20" i="9"/>
  <c r="BO21" i="9"/>
  <c r="AD21" i="9"/>
  <c r="V21" i="9"/>
  <c r="W22" i="9"/>
  <c r="AO21" i="9"/>
  <c r="AP21" i="9"/>
  <c r="AQ21" i="9"/>
  <c r="X21" i="9"/>
  <c r="Y21" i="9"/>
  <c r="Z21" i="9"/>
  <c r="AT21" i="9"/>
  <c r="AA21" i="9"/>
  <c r="BS21" i="9"/>
  <c r="AW22" i="12"/>
  <c r="BK22" i="12" s="1"/>
  <c r="AQ22" i="12"/>
  <c r="Z22" i="12"/>
  <c r="W23" i="12"/>
  <c r="AR22" i="12"/>
  <c r="Y22" i="12"/>
  <c r="AP22" i="12"/>
  <c r="X22" i="12"/>
  <c r="BT22" i="12" s="1"/>
  <c r="AO22" i="12"/>
  <c r="V22" i="12"/>
  <c r="BP22" i="12"/>
  <c r="BO22" i="12"/>
  <c r="AT22" i="12"/>
  <c r="AD22" i="12"/>
  <c r="AA22" i="12"/>
  <c r="AY22" i="12"/>
  <c r="BL22" i="12" s="1"/>
  <c r="BS22" i="12"/>
  <c r="BR22" i="12"/>
  <c r="AS21" i="12"/>
  <c r="BH21" i="12"/>
  <c r="AB21" i="12"/>
  <c r="AC21" i="12" s="1"/>
  <c r="AF21" i="12"/>
  <c r="AX21" i="12"/>
  <c r="BM21" i="12"/>
  <c r="AE21" i="12"/>
  <c r="BM22" i="11"/>
  <c r="AB22" i="11"/>
  <c r="AC22" i="11" s="1"/>
  <c r="AE22" i="11"/>
  <c r="AF22" i="11"/>
  <c r="AX22" i="11"/>
  <c r="AJ18" i="11"/>
  <c r="AS22" i="11"/>
  <c r="BK22" i="11"/>
  <c r="BR23" i="11"/>
  <c r="X23" i="11"/>
  <c r="AW23" i="11"/>
  <c r="BK23" i="11" s="1"/>
  <c r="AG23" i="11"/>
  <c r="AT23" i="11"/>
  <c r="AA23" i="11"/>
  <c r="AO23" i="11"/>
  <c r="W24" i="11"/>
  <c r="AY23" i="11"/>
  <c r="AR23" i="11"/>
  <c r="AQ23" i="11"/>
  <c r="AP23" i="11"/>
  <c r="AD23" i="11"/>
  <c r="BS23" i="11"/>
  <c r="Z23" i="11"/>
  <c r="BP23" i="11"/>
  <c r="Y23" i="11"/>
  <c r="BO23" i="11"/>
  <c r="V23" i="11"/>
  <c r="BH22" i="11"/>
  <c r="BX21" i="13"/>
  <c r="AU21" i="13"/>
  <c r="AD21" i="13"/>
  <c r="BS21" i="13"/>
  <c r="BR21" i="13"/>
  <c r="AP21" i="13"/>
  <c r="V21" i="13"/>
  <c r="AQ21" i="13"/>
  <c r="AO21" i="13"/>
  <c r="AS21" i="13" s="1"/>
  <c r="W22" i="13"/>
  <c r="AA21" i="13"/>
  <c r="AY21" i="13"/>
  <c r="Z21" i="13"/>
  <c r="Y21" i="13"/>
  <c r="AW21" i="13"/>
  <c r="BK21" i="13" s="1"/>
  <c r="X21" i="13"/>
  <c r="AV21" i="13"/>
  <c r="BJ21" i="13" s="1"/>
  <c r="BQ21" i="13"/>
  <c r="AR21" i="13"/>
  <c r="BP21" i="13"/>
  <c r="AT21" i="13"/>
  <c r="AG21" i="13"/>
  <c r="BO21" i="13"/>
  <c r="BU21" i="13" s="1"/>
  <c r="BN19" i="13"/>
  <c r="BV19" i="13" s="1"/>
  <c r="BK20" i="13"/>
  <c r="AK21" i="13"/>
  <c r="AK20" i="13"/>
  <c r="AI20" i="13"/>
  <c r="BV18" i="13"/>
  <c r="AJ18" i="13"/>
  <c r="AX20" i="13"/>
  <c r="AE20" i="13"/>
  <c r="AB20" i="13"/>
  <c r="AF20" i="13"/>
  <c r="BM20" i="13"/>
  <c r="BJ20" i="13"/>
  <c r="W23" i="17"/>
  <c r="X22" i="17"/>
  <c r="AY22" i="17" s="1"/>
  <c r="W22" i="10"/>
  <c r="X21" i="10"/>
  <c r="CE22" i="9" l="1"/>
  <c r="CA22" i="10"/>
  <c r="BD20" i="22"/>
  <c r="BD21" i="22"/>
  <c r="BD22" i="22"/>
  <c r="AM23" i="22"/>
  <c r="AZ23" i="22"/>
  <c r="AZ24" i="22" s="1"/>
  <c r="AZ25" i="22" s="1"/>
  <c r="AK25" i="22"/>
  <c r="AI24" i="22"/>
  <c r="AJ24" i="22" s="1"/>
  <c r="AM22" i="22"/>
  <c r="BD18" i="22"/>
  <c r="AK24" i="22"/>
  <c r="BM25" i="22"/>
  <c r="AF25" i="22"/>
  <c r="AE25" i="22"/>
  <c r="AI25" i="22" s="1"/>
  <c r="AB25" i="22"/>
  <c r="AC25" i="22" s="1"/>
  <c r="BT25" i="22"/>
  <c r="BU25" i="22" s="1"/>
  <c r="AX25" i="22"/>
  <c r="AS25" i="22"/>
  <c r="BN24" i="22"/>
  <c r="BV24" i="22" s="1"/>
  <c r="BH25" i="22"/>
  <c r="AR26" i="22"/>
  <c r="AP26" i="22"/>
  <c r="Z26" i="22"/>
  <c r="AT26" i="22"/>
  <c r="AA26" i="22"/>
  <c r="W27" i="22"/>
  <c r="AQ26" i="22"/>
  <c r="X26" i="22"/>
  <c r="AO26" i="22"/>
  <c r="V26" i="22"/>
  <c r="BX26" i="22"/>
  <c r="BO26" i="22"/>
  <c r="AD26" i="22"/>
  <c r="BS26" i="22"/>
  <c r="AY26" i="22"/>
  <c r="BL26" i="22" s="1"/>
  <c r="AG26" i="22"/>
  <c r="AW26" i="22"/>
  <c r="BK26" i="22" s="1"/>
  <c r="BP26" i="22"/>
  <c r="Y26" i="22"/>
  <c r="BR26" i="22"/>
  <c r="BQ26" i="22"/>
  <c r="AV26" i="22"/>
  <c r="BJ26" i="22" s="1"/>
  <c r="AU26" i="22"/>
  <c r="BI26" i="22" s="1"/>
  <c r="BI25" i="22"/>
  <c r="AH22" i="17"/>
  <c r="AB22" i="17"/>
  <c r="AI22" i="11"/>
  <c r="AJ22" i="11" s="1"/>
  <c r="AI20" i="11"/>
  <c r="AI21" i="11"/>
  <c r="AJ21" i="11" s="1"/>
  <c r="BH21" i="9"/>
  <c r="AX21" i="9"/>
  <c r="AB21" i="9"/>
  <c r="AC21" i="9" s="1"/>
  <c r="BM21" i="9"/>
  <c r="AF21" i="9"/>
  <c r="X22" i="9"/>
  <c r="Y22" i="9"/>
  <c r="AO22" i="9"/>
  <c r="BS22" i="9"/>
  <c r="AT22" i="9"/>
  <c r="V22" i="9"/>
  <c r="W23" i="9"/>
  <c r="AD22" i="9"/>
  <c r="AQ22" i="9"/>
  <c r="AP22" i="9"/>
  <c r="BO22" i="9"/>
  <c r="Z22" i="9"/>
  <c r="AA22" i="9"/>
  <c r="BH22" i="12"/>
  <c r="BR23" i="12"/>
  <c r="X23" i="12"/>
  <c r="BT23" i="12" s="1"/>
  <c r="AP23" i="12"/>
  <c r="AO23" i="12"/>
  <c r="V23" i="12"/>
  <c r="AD23" i="12"/>
  <c r="AY23" i="12"/>
  <c r="BL23" i="12" s="1"/>
  <c r="W24" i="12"/>
  <c r="AW23" i="12"/>
  <c r="AA23" i="12"/>
  <c r="Z23" i="12"/>
  <c r="BS23" i="12"/>
  <c r="Y23" i="12"/>
  <c r="BP23" i="12"/>
  <c r="BO23" i="12"/>
  <c r="AT23" i="12"/>
  <c r="AR23" i="12"/>
  <c r="AQ23" i="12"/>
  <c r="AS22" i="12"/>
  <c r="BM22" i="12"/>
  <c r="AF22" i="12"/>
  <c r="AE22" i="12"/>
  <c r="AB22" i="12"/>
  <c r="AC22" i="12" s="1"/>
  <c r="AX22" i="12"/>
  <c r="AC23" i="11"/>
  <c r="BS24" i="11"/>
  <c r="AO24" i="11"/>
  <c r="Y24" i="11"/>
  <c r="AD24" i="11"/>
  <c r="AP24" i="11"/>
  <c r="X24" i="11"/>
  <c r="AT24" i="11"/>
  <c r="AA24" i="11"/>
  <c r="Z24" i="11"/>
  <c r="BR24" i="11"/>
  <c r="AW24" i="11"/>
  <c r="BK24" i="11" s="1"/>
  <c r="AG24" i="11"/>
  <c r="W25" i="11"/>
  <c r="V24" i="11"/>
  <c r="BP24" i="11"/>
  <c r="BO24" i="11"/>
  <c r="AY24" i="11"/>
  <c r="BL24" i="11" s="1"/>
  <c r="AR24" i="11"/>
  <c r="AQ24" i="11"/>
  <c r="AS23" i="11"/>
  <c r="BH23" i="11"/>
  <c r="BL23" i="11"/>
  <c r="BM23" i="11"/>
  <c r="AB23" i="11"/>
  <c r="AF23" i="11"/>
  <c r="AE23" i="11"/>
  <c r="AX23" i="11"/>
  <c r="AC21" i="13"/>
  <c r="BI21" i="13"/>
  <c r="AO22" i="13"/>
  <c r="X22" i="13"/>
  <c r="BQ22" i="13"/>
  <c r="AY22" i="13"/>
  <c r="BL22" i="13" s="1"/>
  <c r="BP22" i="13"/>
  <c r="AW22" i="13"/>
  <c r="BR22" i="13"/>
  <c r="AU22" i="13"/>
  <c r="BI22" i="13" s="1"/>
  <c r="AA22" i="13"/>
  <c r="AD22" i="13"/>
  <c r="BX22" i="13"/>
  <c r="W23" i="13"/>
  <c r="AV22" i="13"/>
  <c r="AT22" i="13"/>
  <c r="V22" i="13"/>
  <c r="BS22" i="13"/>
  <c r="AR22" i="13"/>
  <c r="BO22" i="13"/>
  <c r="AQ22" i="13"/>
  <c r="AP22" i="13"/>
  <c r="AG22" i="13"/>
  <c r="Z22" i="13"/>
  <c r="Y22" i="13"/>
  <c r="BH21" i="13"/>
  <c r="BM21" i="13"/>
  <c r="AX21" i="13"/>
  <c r="AF21" i="13"/>
  <c r="AE21" i="13"/>
  <c r="AB21" i="13"/>
  <c r="BL21" i="13"/>
  <c r="AI21" i="13"/>
  <c r="W24" i="17"/>
  <c r="X23" i="17"/>
  <c r="AH23" i="17" s="1"/>
  <c r="W23" i="10"/>
  <c r="X22" i="10"/>
  <c r="CE23" i="9" l="1"/>
  <c r="CA23" i="10"/>
  <c r="AS24" i="11"/>
  <c r="AM24" i="22"/>
  <c r="BB25" i="22"/>
  <c r="BC25" i="22" s="1"/>
  <c r="AZ26" i="22"/>
  <c r="AZ27" i="22" s="1"/>
  <c r="BB23" i="22"/>
  <c r="BC23" i="22" s="1"/>
  <c r="AS26" i="22"/>
  <c r="BN25" i="22"/>
  <c r="AB26" i="22"/>
  <c r="BT26" i="22"/>
  <c r="BU26" i="22" s="1"/>
  <c r="AF26" i="22"/>
  <c r="AE26" i="22"/>
  <c r="AX26" i="22"/>
  <c r="BM26" i="22"/>
  <c r="BP27" i="22"/>
  <c r="V27" i="22"/>
  <c r="BO27" i="22"/>
  <c r="AY27" i="22"/>
  <c r="BL27" i="22" s="1"/>
  <c r="BS27" i="22"/>
  <c r="AG27" i="22"/>
  <c r="BQ27" i="22"/>
  <c r="AW27" i="22"/>
  <c r="BK27" i="22" s="1"/>
  <c r="Y27" i="22"/>
  <c r="AQ27" i="22"/>
  <c r="AP27" i="22"/>
  <c r="AO27" i="22"/>
  <c r="W28" i="22"/>
  <c r="BR27" i="22"/>
  <c r="AA27" i="22"/>
  <c r="AK27" i="22" s="1"/>
  <c r="Z27" i="22"/>
  <c r="AR27" i="22"/>
  <c r="AT27" i="22"/>
  <c r="BX27" i="22"/>
  <c r="AD27" i="22"/>
  <c r="X27" i="22"/>
  <c r="AV27" i="22"/>
  <c r="BJ27" i="22" s="1"/>
  <c r="AU27" i="22"/>
  <c r="BI27" i="22" s="1"/>
  <c r="BH26" i="22"/>
  <c r="AJ25" i="22"/>
  <c r="AK26" i="22"/>
  <c r="AC26" i="22"/>
  <c r="BB24" i="22"/>
  <c r="BC24" i="22" s="1"/>
  <c r="AY23" i="17"/>
  <c r="AB23" i="17"/>
  <c r="BH22" i="9"/>
  <c r="X23" i="9"/>
  <c r="AP23" i="9"/>
  <c r="Y23" i="9"/>
  <c r="AQ23" i="9"/>
  <c r="W24" i="9"/>
  <c r="BO23" i="9"/>
  <c r="AO23" i="9"/>
  <c r="Z23" i="9"/>
  <c r="AA23" i="9"/>
  <c r="V23" i="9"/>
  <c r="AD23" i="9"/>
  <c r="BS23" i="9"/>
  <c r="AT23" i="9"/>
  <c r="AB22" i="9"/>
  <c r="BM22" i="9"/>
  <c r="AF22" i="9"/>
  <c r="AX22" i="9"/>
  <c r="BK23" i="12"/>
  <c r="AT24" i="12"/>
  <c r="AD24" i="12"/>
  <c r="BO24" i="12"/>
  <c r="AW24" i="12"/>
  <c r="BK24" i="12" s="1"/>
  <c r="AA24" i="12"/>
  <c r="Z24" i="12"/>
  <c r="AY24" i="12"/>
  <c r="Y24" i="12"/>
  <c r="W25" i="12"/>
  <c r="X24" i="12"/>
  <c r="BT24" i="12" s="1"/>
  <c r="BS24" i="12"/>
  <c r="V24" i="12"/>
  <c r="BR24" i="12"/>
  <c r="BP24" i="12"/>
  <c r="AR24" i="12"/>
  <c r="AQ24" i="12"/>
  <c r="AP24" i="12"/>
  <c r="AO24" i="12"/>
  <c r="BH23" i="12"/>
  <c r="AF23" i="12"/>
  <c r="AE23" i="12"/>
  <c r="AX23" i="12"/>
  <c r="AB23" i="12"/>
  <c r="AC23" i="12" s="1"/>
  <c r="BM23" i="12"/>
  <c r="AS23" i="12"/>
  <c r="BO25" i="11"/>
  <c r="AT25" i="11"/>
  <c r="AD25" i="11"/>
  <c r="AO25" i="11"/>
  <c r="X25" i="11"/>
  <c r="AY25" i="11"/>
  <c r="BP25" i="11"/>
  <c r="AA25" i="11"/>
  <c r="Z25" i="11"/>
  <c r="W26" i="11"/>
  <c r="Y25" i="11"/>
  <c r="AW25" i="11"/>
  <c r="V25" i="11"/>
  <c r="AR25" i="11"/>
  <c r="AQ25" i="11"/>
  <c r="AP25" i="11"/>
  <c r="AG25" i="11"/>
  <c r="BS25" i="11"/>
  <c r="BR25" i="11"/>
  <c r="AI23" i="11"/>
  <c r="AJ23" i="11" s="1"/>
  <c r="AC24" i="11"/>
  <c r="BH24" i="11"/>
  <c r="BM24" i="11"/>
  <c r="AX24" i="11"/>
  <c r="AB24" i="11"/>
  <c r="AF24" i="11"/>
  <c r="AE24" i="11"/>
  <c r="AI24" i="11"/>
  <c r="AK22" i="13"/>
  <c r="BU22" i="13"/>
  <c r="BK22" i="13"/>
  <c r="BN21" i="13"/>
  <c r="AJ21" i="13"/>
  <c r="AX22" i="13"/>
  <c r="AF22" i="13"/>
  <c r="AI22" i="13" s="1"/>
  <c r="AE22" i="13"/>
  <c r="BM22" i="13"/>
  <c r="AB22" i="13"/>
  <c r="BH22" i="13"/>
  <c r="BN22" i="13" s="1"/>
  <c r="AS22" i="13"/>
  <c r="AK23" i="13"/>
  <c r="BJ22" i="13"/>
  <c r="BS23" i="13"/>
  <c r="AO23" i="13"/>
  <c r="Y23" i="13"/>
  <c r="BO23" i="13"/>
  <c r="AG23" i="13"/>
  <c r="AV23" i="13"/>
  <c r="BJ23" i="13" s="1"/>
  <c r="AD23" i="13"/>
  <c r="AU23" i="13"/>
  <c r="BI23" i="13" s="1"/>
  <c r="BX23" i="13"/>
  <c r="BP23" i="13"/>
  <c r="AR23" i="13"/>
  <c r="V23" i="13"/>
  <c r="AQ23" i="13"/>
  <c r="AP23" i="13"/>
  <c r="AY23" i="13"/>
  <c r="AW23" i="13"/>
  <c r="BK23" i="13" s="1"/>
  <c r="AT23" i="13"/>
  <c r="BQ23" i="13"/>
  <c r="BR23" i="13"/>
  <c r="AA23" i="13"/>
  <c r="Z23" i="13"/>
  <c r="X23" i="13"/>
  <c r="W24" i="13"/>
  <c r="W25" i="17"/>
  <c r="X24" i="17"/>
  <c r="AY24" i="17" s="1"/>
  <c r="W24" i="10"/>
  <c r="X23" i="10"/>
  <c r="AS23" i="13" l="1"/>
  <c r="CE24" i="9"/>
  <c r="CA24" i="10"/>
  <c r="BD24" i="22"/>
  <c r="BD25" i="22"/>
  <c r="AS24" i="12"/>
  <c r="BB26" i="22"/>
  <c r="BC26" i="22" s="1"/>
  <c r="AS27" i="22"/>
  <c r="AQ28" i="22"/>
  <c r="AA28" i="22"/>
  <c r="AP28" i="22"/>
  <c r="Z28" i="22"/>
  <c r="BP28" i="22"/>
  <c r="AD28" i="22"/>
  <c r="AZ28" i="22"/>
  <c r="BR28" i="22"/>
  <c r="AW28" i="22"/>
  <c r="BK28" i="22" s="1"/>
  <c r="BQ28" i="22"/>
  <c r="Y28" i="22"/>
  <c r="BO28" i="22"/>
  <c r="AT28" i="22"/>
  <c r="X28" i="22"/>
  <c r="W29" i="22"/>
  <c r="AR28" i="22"/>
  <c r="AO28" i="22"/>
  <c r="BX28" i="22"/>
  <c r="BS28" i="22"/>
  <c r="AY28" i="22"/>
  <c r="BL28" i="22" s="1"/>
  <c r="AG28" i="22"/>
  <c r="V28" i="22"/>
  <c r="AV28" i="22"/>
  <c r="BJ28" i="22" s="1"/>
  <c r="AU28" i="22"/>
  <c r="AE27" i="22"/>
  <c r="BM27" i="22"/>
  <c r="BT27" i="22"/>
  <c r="BU27" i="22" s="1"/>
  <c r="AF27" i="22"/>
  <c r="AB27" i="22"/>
  <c r="AC27" i="22" s="1"/>
  <c r="AX27" i="22"/>
  <c r="BB27" i="22" s="1"/>
  <c r="BH27" i="22"/>
  <c r="AM25" i="22"/>
  <c r="BV25" i="22"/>
  <c r="AI26" i="22"/>
  <c r="AJ26" i="22" s="1"/>
  <c r="BD23" i="22"/>
  <c r="BN26" i="22"/>
  <c r="BV26" i="22" s="1"/>
  <c r="AH24" i="17"/>
  <c r="AB24" i="17"/>
  <c r="AB23" i="9"/>
  <c r="AC23" i="9" s="1"/>
  <c r="AF23" i="9"/>
  <c r="AX23" i="9"/>
  <c r="BM23" i="9"/>
  <c r="BH23" i="9"/>
  <c r="AC22" i="9"/>
  <c r="W25" i="9"/>
  <c r="V24" i="9"/>
  <c r="AO24" i="9"/>
  <c r="AA24" i="9"/>
  <c r="AT24" i="9"/>
  <c r="AQ24" i="9"/>
  <c r="BO24" i="9"/>
  <c r="AD24" i="9"/>
  <c r="BS24" i="9"/>
  <c r="AP24" i="9"/>
  <c r="X24" i="9"/>
  <c r="Y24" i="9"/>
  <c r="Z24" i="9"/>
  <c r="BH24" i="12"/>
  <c r="AE24" i="12"/>
  <c r="AB24" i="12"/>
  <c r="AX24" i="12"/>
  <c r="AF24" i="12"/>
  <c r="BM24" i="12"/>
  <c r="BO25" i="12"/>
  <c r="BP25" i="12"/>
  <c r="AY25" i="12"/>
  <c r="BL25" i="12" s="1"/>
  <c r="AO25" i="12"/>
  <c r="X25" i="12"/>
  <c r="BT25" i="12" s="1"/>
  <c r="AT25" i="12"/>
  <c r="AP25" i="12"/>
  <c r="V25" i="12"/>
  <c r="W26" i="12"/>
  <c r="AA25" i="12"/>
  <c r="Z25" i="12"/>
  <c r="AW25" i="12"/>
  <c r="Y25" i="12"/>
  <c r="BS25" i="12"/>
  <c r="AD25" i="12"/>
  <c r="BR25" i="12"/>
  <c r="AR25" i="12"/>
  <c r="AQ25" i="12"/>
  <c r="AC24" i="12"/>
  <c r="BL24" i="12"/>
  <c r="BL25" i="11"/>
  <c r="AB25" i="11"/>
  <c r="AX25" i="11"/>
  <c r="BM25" i="11"/>
  <c r="AF25" i="11"/>
  <c r="AE25" i="11"/>
  <c r="BK25" i="11"/>
  <c r="AS25" i="11"/>
  <c r="AJ24" i="11"/>
  <c r="AI25" i="11"/>
  <c r="BH25" i="11"/>
  <c r="AC25" i="11"/>
  <c r="AP26" i="11"/>
  <c r="Z26" i="11"/>
  <c r="BS26" i="11"/>
  <c r="V26" i="11"/>
  <c r="AD26" i="11"/>
  <c r="AY26" i="11"/>
  <c r="BL26" i="11" s="1"/>
  <c r="W27" i="11"/>
  <c r="AA26" i="11"/>
  <c r="Y26" i="11"/>
  <c r="X26" i="11"/>
  <c r="AW26" i="11"/>
  <c r="BK26" i="11" s="1"/>
  <c r="AT26" i="11"/>
  <c r="AR26" i="11"/>
  <c r="AQ26" i="11"/>
  <c r="AO26" i="11"/>
  <c r="BR26" i="11"/>
  <c r="BP26" i="11"/>
  <c r="AG26" i="11"/>
  <c r="BO26" i="11"/>
  <c r="BH23" i="13"/>
  <c r="BU23" i="13"/>
  <c r="BL23" i="13"/>
  <c r="BV22" i="13"/>
  <c r="BY22" i="13" s="1"/>
  <c r="BV21" i="13"/>
  <c r="AT24" i="13"/>
  <c r="AD24" i="13"/>
  <c r="AR24" i="13"/>
  <c r="AA24" i="13"/>
  <c r="AU24" i="13"/>
  <c r="Z24" i="13"/>
  <c r="BX24" i="13"/>
  <c r="AG24" i="13"/>
  <c r="V24" i="13"/>
  <c r="W25" i="13"/>
  <c r="AW24" i="13"/>
  <c r="BK24" i="13" s="1"/>
  <c r="AV24" i="13"/>
  <c r="BJ24" i="13" s="1"/>
  <c r="BS24" i="13"/>
  <c r="AQ24" i="13"/>
  <c r="BR24" i="13"/>
  <c r="AP24" i="13"/>
  <c r="BP24" i="13"/>
  <c r="BO24" i="13"/>
  <c r="BQ24" i="13"/>
  <c r="AO24" i="13"/>
  <c r="AY24" i="13"/>
  <c r="BL24" i="13" s="1"/>
  <c r="Y24" i="13"/>
  <c r="X24" i="13"/>
  <c r="AX23" i="13"/>
  <c r="BM23" i="13"/>
  <c r="AF23" i="13"/>
  <c r="AE23" i="13"/>
  <c r="AB23" i="13"/>
  <c r="AC23" i="13" s="1"/>
  <c r="AC22" i="13"/>
  <c r="AI23" i="13"/>
  <c r="W26" i="17"/>
  <c r="X25" i="17"/>
  <c r="AY25" i="17" s="1"/>
  <c r="W25" i="10"/>
  <c r="X24" i="10"/>
  <c r="CE25" i="9" l="1"/>
  <c r="CA25" i="10"/>
  <c r="BD26" i="22"/>
  <c r="AI27" i="22"/>
  <c r="BC27" i="22"/>
  <c r="BN27" i="22"/>
  <c r="BV27" i="22" s="1"/>
  <c r="AS28" i="22"/>
  <c r="AJ27" i="22"/>
  <c r="AK28" i="22"/>
  <c r="AM26" i="22"/>
  <c r="BT28" i="22"/>
  <c r="BU28" i="22" s="1"/>
  <c r="AX28" i="22"/>
  <c r="BB28" i="22" s="1"/>
  <c r="AF28" i="22"/>
  <c r="AE28" i="22"/>
  <c r="AB28" i="22"/>
  <c r="AC28" i="22" s="1"/>
  <c r="BM28" i="22"/>
  <c r="W30" i="22"/>
  <c r="BO29" i="22"/>
  <c r="AW29" i="22"/>
  <c r="BK29" i="22" s="1"/>
  <c r="AA29" i="22"/>
  <c r="BX29" i="22"/>
  <c r="AG29" i="22"/>
  <c r="AZ29" i="22"/>
  <c r="AD29" i="22"/>
  <c r="AY29" i="22"/>
  <c r="BL29" i="22" s="1"/>
  <c r="V29" i="22"/>
  <c r="AT29" i="22"/>
  <c r="AR29" i="22"/>
  <c r="AQ29" i="22"/>
  <c r="BS29" i="22"/>
  <c r="AP29" i="22"/>
  <c r="Y29" i="22"/>
  <c r="BP29" i="22"/>
  <c r="AO29" i="22"/>
  <c r="BR29" i="22"/>
  <c r="BQ29" i="22"/>
  <c r="Z29" i="22"/>
  <c r="X29" i="22"/>
  <c r="AV29" i="22"/>
  <c r="BJ29" i="22" s="1"/>
  <c r="AU29" i="22"/>
  <c r="BI29" i="22" s="1"/>
  <c r="BI28" i="22"/>
  <c r="BH28" i="22"/>
  <c r="AH25" i="17"/>
  <c r="AB25" i="17"/>
  <c r="AJ23" i="13"/>
  <c r="BH24" i="9"/>
  <c r="AF24" i="9"/>
  <c r="BM24" i="9"/>
  <c r="AB24" i="9"/>
  <c r="AC24" i="9" s="1"/>
  <c r="AX24" i="9"/>
  <c r="V25" i="9"/>
  <c r="Y25" i="9"/>
  <c r="AQ25" i="9"/>
  <c r="Z25" i="9"/>
  <c r="W26" i="9"/>
  <c r="AT25" i="9"/>
  <c r="AA25" i="9"/>
  <c r="AO25" i="9"/>
  <c r="BS25" i="9"/>
  <c r="AD25" i="9"/>
  <c r="AP25" i="9"/>
  <c r="BO25" i="9"/>
  <c r="X25" i="9"/>
  <c r="BK25" i="12"/>
  <c r="AP26" i="12"/>
  <c r="Z26" i="12"/>
  <c r="BS26" i="12"/>
  <c r="BR26" i="12"/>
  <c r="AA26" i="12"/>
  <c r="BO26" i="12"/>
  <c r="AT26" i="12"/>
  <c r="X26" i="12"/>
  <c r="BT26" i="12" s="1"/>
  <c r="AR26" i="12"/>
  <c r="AQ26" i="12"/>
  <c r="V26" i="12"/>
  <c r="AO26" i="12"/>
  <c r="AD26" i="12"/>
  <c r="Y26" i="12"/>
  <c r="AY26" i="12"/>
  <c r="BL26" i="12" s="1"/>
  <c r="W27" i="12"/>
  <c r="AW26" i="12"/>
  <c r="BK26" i="12" s="1"/>
  <c r="BP26" i="12"/>
  <c r="BH25" i="12"/>
  <c r="AB25" i="12"/>
  <c r="AC25" i="12" s="1"/>
  <c r="AX25" i="12"/>
  <c r="BM25" i="12"/>
  <c r="AF25" i="12"/>
  <c r="AE25" i="12"/>
  <c r="AS25" i="12"/>
  <c r="AF26" i="11"/>
  <c r="AE26" i="11"/>
  <c r="AI26" i="11" s="1"/>
  <c r="AB26" i="11"/>
  <c r="AX26" i="11"/>
  <c r="BM26" i="11"/>
  <c r="AC26" i="11"/>
  <c r="AW27" i="11"/>
  <c r="BK27" i="11" s="1"/>
  <c r="BR27" i="11"/>
  <c r="AA27" i="11"/>
  <c r="W28" i="11"/>
  <c r="BS27" i="11"/>
  <c r="AT27" i="11"/>
  <c r="AR27" i="11"/>
  <c r="V27" i="11"/>
  <c r="Z27" i="11"/>
  <c r="Y27" i="11"/>
  <c r="AY27" i="11"/>
  <c r="BL27" i="11" s="1"/>
  <c r="X27" i="11"/>
  <c r="AO27" i="11"/>
  <c r="AG27" i="11"/>
  <c r="AD27" i="11"/>
  <c r="BP27" i="11"/>
  <c r="BO27" i="11"/>
  <c r="AQ27" i="11"/>
  <c r="AP27" i="11"/>
  <c r="AS26" i="11"/>
  <c r="AJ25" i="11"/>
  <c r="BH26" i="11"/>
  <c r="AS24" i="13"/>
  <c r="BN23" i="13"/>
  <c r="AJ22" i="13"/>
  <c r="BU24" i="13"/>
  <c r="BI24" i="13"/>
  <c r="BH24" i="13"/>
  <c r="BN24" i="13" s="1"/>
  <c r="BV24" i="13" s="1"/>
  <c r="BY24" i="13" s="1"/>
  <c r="BY21" i="13"/>
  <c r="AK24" i="13"/>
  <c r="BM24" i="13"/>
  <c r="AB24" i="13"/>
  <c r="AF24" i="13"/>
  <c r="AE24" i="13"/>
  <c r="AX24" i="13"/>
  <c r="BP25" i="13"/>
  <c r="AY25" i="13"/>
  <c r="V25" i="13"/>
  <c r="AR25" i="13"/>
  <c r="Z25" i="13"/>
  <c r="AQ25" i="13"/>
  <c r="Y25" i="13"/>
  <c r="BQ25" i="13"/>
  <c r="AU25" i="13"/>
  <c r="BI25" i="13" s="1"/>
  <c r="AA25" i="13"/>
  <c r="BO25" i="13"/>
  <c r="AP25" i="13"/>
  <c r="AO25" i="13"/>
  <c r="X25" i="13"/>
  <c r="W26" i="13"/>
  <c r="AW25" i="13"/>
  <c r="BX25" i="13"/>
  <c r="AV25" i="13"/>
  <c r="BJ25" i="13" s="1"/>
  <c r="AT25" i="13"/>
  <c r="BS25" i="13"/>
  <c r="BR25" i="13"/>
  <c r="AG25" i="13"/>
  <c r="AD25" i="13"/>
  <c r="AC24" i="13"/>
  <c r="X26" i="17"/>
  <c r="AH26" i="17" s="1"/>
  <c r="W27" i="17"/>
  <c r="W26" i="10"/>
  <c r="X25" i="10"/>
  <c r="CE26" i="9" l="1"/>
  <c r="CA26" i="10"/>
  <c r="AS27" i="11"/>
  <c r="BD27" i="22"/>
  <c r="AM27" i="22"/>
  <c r="AI28" i="22"/>
  <c r="AJ28" i="22" s="1"/>
  <c r="AS29" i="22"/>
  <c r="BC28" i="22"/>
  <c r="AK29" i="22"/>
  <c r="BQ30" i="22"/>
  <c r="BP30" i="22"/>
  <c r="AZ30" i="22"/>
  <c r="V30" i="22"/>
  <c r="AT30" i="22"/>
  <c r="W31" i="22"/>
  <c r="AR30" i="22"/>
  <c r="Z30" i="22"/>
  <c r="X30" i="22"/>
  <c r="AP30" i="22"/>
  <c r="AO30" i="22"/>
  <c r="BO30" i="22"/>
  <c r="AD30" i="22"/>
  <c r="AA30" i="22"/>
  <c r="Y30" i="22"/>
  <c r="AY30" i="22"/>
  <c r="BL30" i="22" s="1"/>
  <c r="AW30" i="22"/>
  <c r="BK30" i="22" s="1"/>
  <c r="AQ30" i="22"/>
  <c r="BR30" i="22"/>
  <c r="AG30" i="22"/>
  <c r="BX30" i="22"/>
  <c r="BS30" i="22"/>
  <c r="AV30" i="22"/>
  <c r="BJ30" i="22" s="1"/>
  <c r="AU30" i="22"/>
  <c r="BI30" i="22" s="1"/>
  <c r="AF29" i="22"/>
  <c r="AE29" i="22"/>
  <c r="BM29" i="22"/>
  <c r="BT29" i="22"/>
  <c r="BU29" i="22" s="1"/>
  <c r="AX29" i="22"/>
  <c r="AB29" i="22"/>
  <c r="AC29" i="22" s="1"/>
  <c r="BN28" i="22"/>
  <c r="BV28" i="22" s="1"/>
  <c r="BH29" i="22"/>
  <c r="AY26" i="17"/>
  <c r="AB26" i="17"/>
  <c r="AI24" i="13"/>
  <c r="AJ24" i="13"/>
  <c r="BH25" i="9"/>
  <c r="Z26" i="9"/>
  <c r="AP26" i="9"/>
  <c r="AA26" i="9"/>
  <c r="AQ26" i="9"/>
  <c r="V26" i="9"/>
  <c r="AT26" i="9"/>
  <c r="BS26" i="9"/>
  <c r="W27" i="9"/>
  <c r="AD26" i="9"/>
  <c r="X26" i="9"/>
  <c r="Y26" i="9"/>
  <c r="BO26" i="9"/>
  <c r="AO26" i="9"/>
  <c r="AB25" i="9"/>
  <c r="AC25" i="9" s="1"/>
  <c r="AX25" i="9"/>
  <c r="AF25" i="9"/>
  <c r="BM25" i="9"/>
  <c r="AS26" i="12"/>
  <c r="AB26" i="12"/>
  <c r="AC26" i="12" s="1"/>
  <c r="BM26" i="12"/>
  <c r="AX26" i="12"/>
  <c r="AE26" i="12"/>
  <c r="AF26" i="12"/>
  <c r="BH26" i="12"/>
  <c r="BS27" i="12"/>
  <c r="V27" i="12"/>
  <c r="AY27" i="12"/>
  <c r="BL27" i="12" s="1"/>
  <c r="BP27" i="12"/>
  <c r="W28" i="12"/>
  <c r="AD27" i="12"/>
  <c r="AW27" i="12"/>
  <c r="BK27" i="12" s="1"/>
  <c r="AA27" i="12"/>
  <c r="Z27" i="12"/>
  <c r="Y27" i="12"/>
  <c r="X27" i="12"/>
  <c r="BT27" i="12" s="1"/>
  <c r="AT27" i="12"/>
  <c r="BR27" i="12"/>
  <c r="AR27" i="12"/>
  <c r="AQ27" i="12"/>
  <c r="AP27" i="12"/>
  <c r="AO27" i="12"/>
  <c r="BO27" i="12"/>
  <c r="AE27" i="11"/>
  <c r="AF27" i="11"/>
  <c r="AB27" i="11"/>
  <c r="AX27" i="11"/>
  <c r="BM27" i="11"/>
  <c r="AC27" i="11"/>
  <c r="AJ26" i="11"/>
  <c r="BH27" i="11"/>
  <c r="BP28" i="11"/>
  <c r="V28" i="11"/>
  <c r="AQ28" i="11"/>
  <c r="Z28" i="11"/>
  <c r="BO28" i="11"/>
  <c r="AW28" i="11"/>
  <c r="BK28" i="11" s="1"/>
  <c r="W29" i="11"/>
  <c r="AR28" i="11"/>
  <c r="Y28" i="11"/>
  <c r="AT28" i="11"/>
  <c r="X28" i="11"/>
  <c r="AA28" i="11"/>
  <c r="AY28" i="11"/>
  <c r="BL28" i="11" s="1"/>
  <c r="BS28" i="11"/>
  <c r="AD28" i="11"/>
  <c r="BR28" i="11"/>
  <c r="AP28" i="11"/>
  <c r="AO28" i="11"/>
  <c r="AG28" i="11"/>
  <c r="BP26" i="13"/>
  <c r="V26" i="13"/>
  <c r="BR26" i="13"/>
  <c r="AY26" i="13"/>
  <c r="BL26" i="13" s="1"/>
  <c r="AG26" i="13"/>
  <c r="AR26" i="13"/>
  <c r="Y26" i="13"/>
  <c r="AQ26" i="13"/>
  <c r="X26" i="13"/>
  <c r="W27" i="13"/>
  <c r="Z26" i="13"/>
  <c r="AW26" i="13"/>
  <c r="BK26" i="13" s="1"/>
  <c r="BX26" i="13"/>
  <c r="AV26" i="13"/>
  <c r="BJ26" i="13" s="1"/>
  <c r="AT26" i="13"/>
  <c r="AP26" i="13"/>
  <c r="AU26" i="13"/>
  <c r="BI26" i="13" s="1"/>
  <c r="BS26" i="13"/>
  <c r="BQ26" i="13"/>
  <c r="BO26" i="13"/>
  <c r="AA26" i="13"/>
  <c r="AO26" i="13"/>
  <c r="AD26" i="13"/>
  <c r="BM25" i="13"/>
  <c r="AX25" i="13"/>
  <c r="AF25" i="13"/>
  <c r="AE25" i="13"/>
  <c r="AB25" i="13"/>
  <c r="BL25" i="13"/>
  <c r="AS25" i="13"/>
  <c r="BU25" i="13"/>
  <c r="BV23" i="13"/>
  <c r="BY23" i="13" s="1"/>
  <c r="BH25" i="13"/>
  <c r="AC25" i="13"/>
  <c r="AK25" i="13"/>
  <c r="BK25" i="13"/>
  <c r="W28" i="17"/>
  <c r="X27" i="17"/>
  <c r="AY27" i="17" s="1"/>
  <c r="X26" i="10"/>
  <c r="W27" i="10"/>
  <c r="AS27" i="12" l="1"/>
  <c r="AS28" i="11"/>
  <c r="AS26" i="13"/>
  <c r="CE27" i="9"/>
  <c r="CA27" i="10"/>
  <c r="BB29" i="22"/>
  <c r="BC29" i="22" s="1"/>
  <c r="AI29" i="22"/>
  <c r="AJ29" i="22" s="1"/>
  <c r="BN29" i="22"/>
  <c r="BV29" i="22" s="1"/>
  <c r="AS30" i="22"/>
  <c r="AR31" i="22"/>
  <c r="AQ31" i="22"/>
  <c r="AA31" i="22"/>
  <c r="Y31" i="22"/>
  <c r="AO31" i="22"/>
  <c r="BS31" i="22"/>
  <c r="AY31" i="22"/>
  <c r="BL31" i="22" s="1"/>
  <c r="BQ31" i="22"/>
  <c r="AW31" i="22"/>
  <c r="BK31" i="22" s="1"/>
  <c r="BP31" i="22"/>
  <c r="Z31" i="22"/>
  <c r="BO31" i="22"/>
  <c r="X31" i="22"/>
  <c r="AT31" i="22"/>
  <c r="V31" i="22"/>
  <c r="BX31" i="22"/>
  <c r="AG31" i="22"/>
  <c r="AD31" i="22"/>
  <c r="AZ31" i="22"/>
  <c r="AP31" i="22"/>
  <c r="BR31" i="22"/>
  <c r="W32" i="22"/>
  <c r="AU31" i="22"/>
  <c r="BI31" i="22" s="1"/>
  <c r="AV31" i="22"/>
  <c r="BJ31" i="22" s="1"/>
  <c r="BH30" i="22"/>
  <c r="AK30" i="22"/>
  <c r="BD28" i="22"/>
  <c r="AB30" i="22"/>
  <c r="AC30" i="22" s="1"/>
  <c r="AE30" i="22"/>
  <c r="BM30" i="22"/>
  <c r="AX30" i="22"/>
  <c r="AF30" i="22"/>
  <c r="BT30" i="22"/>
  <c r="BU30" i="22" s="1"/>
  <c r="AM28" i="22"/>
  <c r="AH27" i="17"/>
  <c r="AB27" i="17"/>
  <c r="AI27" i="11"/>
  <c r="AJ27" i="11" s="1"/>
  <c r="AF26" i="9"/>
  <c r="AX26" i="9"/>
  <c r="AB26" i="9"/>
  <c r="BM26" i="9"/>
  <c r="AD27" i="9"/>
  <c r="AT27" i="9"/>
  <c r="BO27" i="9"/>
  <c r="BS27" i="9"/>
  <c r="AO27" i="9"/>
  <c r="X27" i="9"/>
  <c r="AP27" i="9"/>
  <c r="V27" i="9"/>
  <c r="Y27" i="9"/>
  <c r="AQ27" i="9"/>
  <c r="W28" i="9"/>
  <c r="Z27" i="9"/>
  <c r="AA27" i="9"/>
  <c r="AC26" i="9"/>
  <c r="BH26" i="9"/>
  <c r="BP28" i="12"/>
  <c r="V28" i="12"/>
  <c r="BO28" i="12"/>
  <c r="AW28" i="12"/>
  <c r="BK28" i="12" s="1"/>
  <c r="AD28" i="12"/>
  <c r="AR28" i="12"/>
  <c r="AQ28" i="12"/>
  <c r="AP28" i="12"/>
  <c r="AO28" i="12"/>
  <c r="BS28" i="12"/>
  <c r="BR28" i="12"/>
  <c r="AA28" i="12"/>
  <c r="Z28" i="12"/>
  <c r="Y28" i="12"/>
  <c r="X28" i="12"/>
  <c r="BT28" i="12" s="1"/>
  <c r="W29" i="12"/>
  <c r="AY28" i="12"/>
  <c r="BL28" i="12" s="1"/>
  <c r="AT28" i="12"/>
  <c r="BH27" i="12"/>
  <c r="AE27" i="12"/>
  <c r="AX27" i="12"/>
  <c r="AF27" i="12"/>
  <c r="AB27" i="12"/>
  <c r="AC27" i="12" s="1"/>
  <c r="BM27" i="12"/>
  <c r="AE28" i="11"/>
  <c r="BM28" i="11"/>
  <c r="AB28" i="11"/>
  <c r="AX28" i="11"/>
  <c r="AF28" i="11"/>
  <c r="BH28" i="11"/>
  <c r="AQ29" i="11"/>
  <c r="AA29" i="11"/>
  <c r="AO29" i="11"/>
  <c r="AY29" i="11"/>
  <c r="BL29" i="11" s="1"/>
  <c r="BS29" i="11"/>
  <c r="AD29" i="11"/>
  <c r="W30" i="11"/>
  <c r="Z29" i="11"/>
  <c r="Y29" i="11"/>
  <c r="X29" i="11"/>
  <c r="AW29" i="11"/>
  <c r="BK29" i="11" s="1"/>
  <c r="V29" i="11"/>
  <c r="AT29" i="11"/>
  <c r="AR29" i="11"/>
  <c r="AP29" i="11"/>
  <c r="BR29" i="11"/>
  <c r="BP29" i="11"/>
  <c r="AG29" i="11"/>
  <c r="BO29" i="11"/>
  <c r="AC28" i="11"/>
  <c r="AI28" i="11"/>
  <c r="AK26" i="13"/>
  <c r="AQ27" i="13"/>
  <c r="AA27" i="13"/>
  <c r="AK27" i="13" s="1"/>
  <c r="BS27" i="13"/>
  <c r="V27" i="13"/>
  <c r="BR27" i="13"/>
  <c r="BP27" i="13"/>
  <c r="AW27" i="13"/>
  <c r="BK27" i="13" s="1"/>
  <c r="AT27" i="13"/>
  <c r="Z27" i="13"/>
  <c r="Y27" i="13"/>
  <c r="AU27" i="13"/>
  <c r="BI27" i="13" s="1"/>
  <c r="W28" i="13"/>
  <c r="AY27" i="13"/>
  <c r="BL27" i="13" s="1"/>
  <c r="X27" i="13"/>
  <c r="BX27" i="13"/>
  <c r="AV27" i="13"/>
  <c r="BJ27" i="13" s="1"/>
  <c r="BO27" i="13"/>
  <c r="AG27" i="13"/>
  <c r="AD27" i="13"/>
  <c r="AO27" i="13"/>
  <c r="BQ27" i="13"/>
  <c r="AR27" i="13"/>
  <c r="AP27" i="13"/>
  <c r="AB26" i="13"/>
  <c r="AC26" i="13" s="1"/>
  <c r="AF26" i="13"/>
  <c r="AE26" i="13"/>
  <c r="AX26" i="13"/>
  <c r="BM26" i="13"/>
  <c r="BU26" i="13"/>
  <c r="AI25" i="13"/>
  <c r="AJ25" i="13"/>
  <c r="BN25" i="13"/>
  <c r="BH26" i="13"/>
  <c r="W29" i="17"/>
  <c r="X28" i="17"/>
  <c r="AY28" i="17" s="1"/>
  <c r="W28" i="10"/>
  <c r="X27" i="10"/>
  <c r="CE28" i="9" l="1"/>
  <c r="CA28" i="10"/>
  <c r="BD29" i="22"/>
  <c r="AM29" i="22"/>
  <c r="BB30" i="22"/>
  <c r="BC30" i="22" s="1"/>
  <c r="AI30" i="22"/>
  <c r="AJ30" i="22" s="1"/>
  <c r="AS31" i="22"/>
  <c r="AK31" i="22"/>
  <c r="BX32" i="22"/>
  <c r="AR32" i="22"/>
  <c r="BR32" i="22"/>
  <c r="AZ32" i="22"/>
  <c r="AY32" i="22"/>
  <c r="BL32" i="22" s="1"/>
  <c r="BQ32" i="22"/>
  <c r="AW32" i="22"/>
  <c r="BK32" i="22" s="1"/>
  <c r="AA32" i="22"/>
  <c r="BP32" i="22"/>
  <c r="Z32" i="22"/>
  <c r="BO32" i="22"/>
  <c r="Y32" i="22"/>
  <c r="AT32" i="22"/>
  <c r="X32" i="22"/>
  <c r="AP32" i="22"/>
  <c r="AO32" i="22"/>
  <c r="BS32" i="22"/>
  <c r="AG32" i="22"/>
  <c r="AQ32" i="22"/>
  <c r="W33" i="22"/>
  <c r="AD32" i="22"/>
  <c r="V32" i="22"/>
  <c r="AV32" i="22"/>
  <c r="BJ32" i="22" s="1"/>
  <c r="AU32" i="22"/>
  <c r="BI32" i="22" s="1"/>
  <c r="BH31" i="22"/>
  <c r="BN30" i="22"/>
  <c r="BV30" i="22" s="1"/>
  <c r="AB31" i="22"/>
  <c r="AC31" i="22" s="1"/>
  <c r="AE31" i="22"/>
  <c r="BT31" i="22"/>
  <c r="BU31" i="22" s="1"/>
  <c r="BM31" i="22"/>
  <c r="AF31" i="22"/>
  <c r="AX31" i="22"/>
  <c r="BB31" i="22" s="1"/>
  <c r="AH28" i="17"/>
  <c r="AB28" i="17"/>
  <c r="AI26" i="13"/>
  <c r="AB27" i="9"/>
  <c r="AC27" i="9" s="1"/>
  <c r="BM27" i="9"/>
  <c r="AX27" i="9"/>
  <c r="AF27" i="9"/>
  <c r="BO28" i="9"/>
  <c r="Z28" i="9"/>
  <c r="AA28" i="9"/>
  <c r="W29" i="9"/>
  <c r="AD28" i="9"/>
  <c r="AO28" i="9"/>
  <c r="AP28" i="9"/>
  <c r="V28" i="9"/>
  <c r="X28" i="9"/>
  <c r="Y28" i="9"/>
  <c r="AT28" i="9"/>
  <c r="AQ28" i="9"/>
  <c r="BS28" i="9"/>
  <c r="BH27" i="9"/>
  <c r="AS28" i="12"/>
  <c r="BH28" i="12"/>
  <c r="AQ29" i="12"/>
  <c r="AA29" i="12"/>
  <c r="AP29" i="12"/>
  <c r="Y29" i="12"/>
  <c r="AT29" i="12"/>
  <c r="AR29" i="12"/>
  <c r="V29" i="12"/>
  <c r="AY29" i="12"/>
  <c r="BL29" i="12" s="1"/>
  <c r="AD29" i="12"/>
  <c r="W30" i="12"/>
  <c r="BS29" i="12"/>
  <c r="AO29" i="12"/>
  <c r="BR29" i="12"/>
  <c r="BP29" i="12"/>
  <c r="BO29" i="12"/>
  <c r="Z29" i="12"/>
  <c r="X29" i="12"/>
  <c r="BT29" i="12" s="1"/>
  <c r="AW29" i="12"/>
  <c r="BK29" i="12" s="1"/>
  <c r="BM28" i="12"/>
  <c r="AE28" i="12"/>
  <c r="AF28" i="12"/>
  <c r="AB28" i="12"/>
  <c r="AC28" i="12" s="1"/>
  <c r="AX28" i="12"/>
  <c r="AJ28" i="11"/>
  <c r="BM29" i="11"/>
  <c r="AE29" i="11"/>
  <c r="AX29" i="11"/>
  <c r="AF29" i="11"/>
  <c r="AB29" i="11"/>
  <c r="AC29" i="11"/>
  <c r="W31" i="11"/>
  <c r="AT30" i="11"/>
  <c r="AR30" i="11"/>
  <c r="Z30" i="11"/>
  <c r="BS30" i="11"/>
  <c r="AW30" i="11"/>
  <c r="BK30" i="11" s="1"/>
  <c r="X30" i="11"/>
  <c r="BR30" i="11"/>
  <c r="AD30" i="11"/>
  <c r="AA30" i="11"/>
  <c r="Y30" i="11"/>
  <c r="AY30" i="11"/>
  <c r="BL30" i="11" s="1"/>
  <c r="V30" i="11"/>
  <c r="AQ30" i="11"/>
  <c r="AP30" i="11"/>
  <c r="AO30" i="11"/>
  <c r="AS30" i="11" s="1"/>
  <c r="AG30" i="11"/>
  <c r="BP30" i="11"/>
  <c r="BO30" i="11"/>
  <c r="AI29" i="11"/>
  <c r="AS29" i="11"/>
  <c r="BH29" i="11"/>
  <c r="AJ26" i="13"/>
  <c r="AE27" i="13"/>
  <c r="BM27" i="13"/>
  <c r="AB27" i="13"/>
  <c r="AX27" i="13"/>
  <c r="AF27" i="13"/>
  <c r="W29" i="13"/>
  <c r="AV28" i="13"/>
  <c r="BJ28" i="13" s="1"/>
  <c r="AW28" i="13"/>
  <c r="BK28" i="13" s="1"/>
  <c r="AU28" i="13"/>
  <c r="BI28" i="13" s="1"/>
  <c r="AD28" i="13"/>
  <c r="BS28" i="13"/>
  <c r="AG28" i="13"/>
  <c r="AY28" i="13"/>
  <c r="BL28" i="13" s="1"/>
  <c r="BX28" i="13"/>
  <c r="AT28" i="13"/>
  <c r="V28" i="13"/>
  <c r="BR28" i="13"/>
  <c r="AR28" i="13"/>
  <c r="BQ28" i="13"/>
  <c r="AQ28" i="13"/>
  <c r="AP28" i="13"/>
  <c r="AO28" i="13"/>
  <c r="BP28" i="13"/>
  <c r="BO28" i="13"/>
  <c r="BU28" i="13" s="1"/>
  <c r="AA28" i="13"/>
  <c r="AK28" i="13" s="1"/>
  <c r="Z28" i="13"/>
  <c r="Y28" i="13"/>
  <c r="X28" i="13"/>
  <c r="BN26" i="13"/>
  <c r="BV26" i="13" s="1"/>
  <c r="BY26" i="13" s="1"/>
  <c r="BV25" i="13"/>
  <c r="BY25" i="13" s="1"/>
  <c r="AC27" i="13"/>
  <c r="AS27" i="13"/>
  <c r="AI27" i="13"/>
  <c r="BH27" i="13"/>
  <c r="BU27" i="13"/>
  <c r="W30" i="17"/>
  <c r="X29" i="17"/>
  <c r="AY29" i="17" s="1"/>
  <c r="W29" i="10"/>
  <c r="X28" i="10"/>
  <c r="CE29" i="9" l="1"/>
  <c r="CA29" i="10"/>
  <c r="AS28" i="13"/>
  <c r="AS29" i="12"/>
  <c r="BD30" i="22"/>
  <c r="AM30" i="22"/>
  <c r="AI31" i="22"/>
  <c r="AJ31" i="22" s="1"/>
  <c r="AB32" i="22"/>
  <c r="BT32" i="22"/>
  <c r="BU32" i="22" s="1"/>
  <c r="AE32" i="22"/>
  <c r="BM32" i="22"/>
  <c r="AF32" i="22"/>
  <c r="AX32" i="22"/>
  <c r="BN31" i="22"/>
  <c r="BV31" i="22" s="1"/>
  <c r="BH32" i="22"/>
  <c r="BN32" i="22" s="1"/>
  <c r="BB32" i="22"/>
  <c r="AT33" i="22"/>
  <c r="AD33" i="22"/>
  <c r="BX33" i="22"/>
  <c r="BO33" i="22"/>
  <c r="AW33" i="22"/>
  <c r="BK33" i="22" s="1"/>
  <c r="AA33" i="22"/>
  <c r="AZ33" i="22"/>
  <c r="BS33" i="22"/>
  <c r="AY33" i="22"/>
  <c r="BL33" i="22" s="1"/>
  <c r="BR33" i="22"/>
  <c r="Z33" i="22"/>
  <c r="BQ33" i="22"/>
  <c r="Y33" i="22"/>
  <c r="AR33" i="22"/>
  <c r="W34" i="22"/>
  <c r="AQ33" i="22"/>
  <c r="AO33" i="22"/>
  <c r="BP33" i="22"/>
  <c r="AP33" i="22"/>
  <c r="X33" i="22"/>
  <c r="AG33" i="22"/>
  <c r="V33" i="22"/>
  <c r="AU33" i="22"/>
  <c r="BI33" i="22" s="1"/>
  <c r="AV33" i="22"/>
  <c r="BJ33" i="22" s="1"/>
  <c r="AC32" i="22"/>
  <c r="BC31" i="22"/>
  <c r="AS32" i="22"/>
  <c r="AK32" i="22"/>
  <c r="AH29" i="17"/>
  <c r="AB29" i="17"/>
  <c r="BH28" i="9"/>
  <c r="X29" i="9"/>
  <c r="Y29" i="9"/>
  <c r="AO29" i="9"/>
  <c r="BS29" i="9"/>
  <c r="V29" i="9"/>
  <c r="AP29" i="9"/>
  <c r="AQ29" i="9"/>
  <c r="AD29" i="9"/>
  <c r="Z29" i="9"/>
  <c r="AA29" i="9"/>
  <c r="BO29" i="9"/>
  <c r="AT29" i="9"/>
  <c r="W30" i="9"/>
  <c r="AX28" i="9"/>
  <c r="AF28" i="9"/>
  <c r="BM28" i="9"/>
  <c r="AB28" i="9"/>
  <c r="AC28" i="9" s="1"/>
  <c r="W31" i="12"/>
  <c r="AR30" i="12"/>
  <c r="Z30" i="12"/>
  <c r="AQ30" i="12"/>
  <c r="Y30" i="12"/>
  <c r="BS30" i="12"/>
  <c r="BO30" i="12"/>
  <c r="V30" i="12"/>
  <c r="AP30" i="12"/>
  <c r="AO30" i="12"/>
  <c r="AY30" i="12"/>
  <c r="BL30" i="12" s="1"/>
  <c r="AW30" i="12"/>
  <c r="BK30" i="12" s="1"/>
  <c r="AT30" i="12"/>
  <c r="AD30" i="12"/>
  <c r="BR30" i="12"/>
  <c r="BP30" i="12"/>
  <c r="AA30" i="12"/>
  <c r="X30" i="12"/>
  <c r="BT30" i="12" s="1"/>
  <c r="BM29" i="12"/>
  <c r="AB29" i="12"/>
  <c r="AC29" i="12" s="1"/>
  <c r="AF29" i="12"/>
  <c r="AE29" i="12"/>
  <c r="AX29" i="12"/>
  <c r="BH29" i="12"/>
  <c r="BH30" i="11"/>
  <c r="AO31" i="11"/>
  <c r="X31" i="11"/>
  <c r="AQ31" i="11"/>
  <c r="Y31" i="11"/>
  <c r="BS31" i="11"/>
  <c r="V31" i="11"/>
  <c r="AR31" i="11"/>
  <c r="AD31" i="11"/>
  <c r="AY31" i="11"/>
  <c r="BL31" i="11" s="1"/>
  <c r="AA31" i="11"/>
  <c r="W32" i="11"/>
  <c r="Z31" i="11"/>
  <c r="AW31" i="11"/>
  <c r="BK31" i="11" s="1"/>
  <c r="AG31" i="11"/>
  <c r="BR31" i="11"/>
  <c r="BP31" i="11"/>
  <c r="BO31" i="11"/>
  <c r="AT31" i="11"/>
  <c r="AP31" i="11"/>
  <c r="AJ29" i="11"/>
  <c r="AF30" i="11"/>
  <c r="AB30" i="11"/>
  <c r="AC30" i="11" s="1"/>
  <c r="AE30" i="11"/>
  <c r="BM30" i="11"/>
  <c r="AX30" i="11"/>
  <c r="AI30" i="11"/>
  <c r="AJ27" i="13"/>
  <c r="BQ29" i="13"/>
  <c r="BX29" i="13"/>
  <c r="AQ29" i="13"/>
  <c r="Z29" i="13"/>
  <c r="AP29" i="13"/>
  <c r="Y29" i="13"/>
  <c r="AG29" i="13"/>
  <c r="W30" i="13"/>
  <c r="AD29" i="13"/>
  <c r="BR29" i="13"/>
  <c r="AT29" i="13"/>
  <c r="BP29" i="13"/>
  <c r="BO29" i="13"/>
  <c r="AR29" i="13"/>
  <c r="AO29" i="13"/>
  <c r="AA29" i="13"/>
  <c r="X29" i="13"/>
  <c r="V29" i="13"/>
  <c r="AW29" i="13"/>
  <c r="BK29" i="13" s="1"/>
  <c r="AY29" i="13"/>
  <c r="BL29" i="13" s="1"/>
  <c r="BS29" i="13"/>
  <c r="AV29" i="13"/>
  <c r="BJ29" i="13" s="1"/>
  <c r="AU29" i="13"/>
  <c r="BI29" i="13" s="1"/>
  <c r="AF28" i="13"/>
  <c r="AE28" i="13"/>
  <c r="AI28" i="13" s="1"/>
  <c r="BM28" i="13"/>
  <c r="AB28" i="13"/>
  <c r="AX28" i="13"/>
  <c r="BH28" i="13"/>
  <c r="BN28" i="13" s="1"/>
  <c r="BV28" i="13" s="1"/>
  <c r="BY28" i="13" s="1"/>
  <c r="AC28" i="13"/>
  <c r="BN27" i="13"/>
  <c r="BV27" i="13" s="1"/>
  <c r="BY27" i="13" s="1"/>
  <c r="W31" i="17"/>
  <c r="X30" i="17"/>
  <c r="AY30" i="17" s="1"/>
  <c r="W30" i="10"/>
  <c r="X29" i="10"/>
  <c r="CE30" i="9" l="1"/>
  <c r="CA30" i="10"/>
  <c r="BD31" i="22"/>
  <c r="AM31" i="22"/>
  <c r="AI32" i="22"/>
  <c r="AJ32" i="22" s="1"/>
  <c r="AS33" i="22"/>
  <c r="BC32" i="22"/>
  <c r="BV32" i="22"/>
  <c r="AW34" i="22"/>
  <c r="BK34" i="22" s="1"/>
  <c r="AG34" i="22"/>
  <c r="AT34" i="22"/>
  <c r="AD34" i="22"/>
  <c r="BP34" i="22"/>
  <c r="AA34" i="22"/>
  <c r="AR34" i="22"/>
  <c r="Y34" i="22"/>
  <c r="AO34" i="22"/>
  <c r="W35" i="22"/>
  <c r="X34" i="22"/>
  <c r="AZ34" i="22"/>
  <c r="AY34" i="22"/>
  <c r="BL34" i="22" s="1"/>
  <c r="BX34" i="22"/>
  <c r="AP34" i="22"/>
  <c r="BQ34" i="22"/>
  <c r="AQ34" i="22"/>
  <c r="BS34" i="22"/>
  <c r="BR34" i="22"/>
  <c r="Z34" i="22"/>
  <c r="V34" i="22"/>
  <c r="BO34" i="22"/>
  <c r="AU34" i="22"/>
  <c r="BI34" i="22" s="1"/>
  <c r="AV34" i="22"/>
  <c r="BJ34" i="22" s="1"/>
  <c r="BH33" i="22"/>
  <c r="AK33" i="22"/>
  <c r="AE33" i="22"/>
  <c r="BM33" i="22"/>
  <c r="BT33" i="22"/>
  <c r="AF33" i="22"/>
  <c r="AB33" i="22"/>
  <c r="AC33" i="22" s="1"/>
  <c r="AX33" i="22"/>
  <c r="BB33" i="22" s="1"/>
  <c r="BU33" i="22"/>
  <c r="AH30" i="17"/>
  <c r="AB30" i="17"/>
  <c r="AJ30" i="11"/>
  <c r="BM29" i="9"/>
  <c r="AX29" i="9"/>
  <c r="AB29" i="9"/>
  <c r="AC29" i="9" s="1"/>
  <c r="AF29" i="9"/>
  <c r="BH29" i="9"/>
  <c r="Y30" i="9"/>
  <c r="AQ30" i="9"/>
  <c r="W31" i="9"/>
  <c r="Z30" i="9"/>
  <c r="AT30" i="9"/>
  <c r="AP30" i="9"/>
  <c r="AA30" i="9"/>
  <c r="AD30" i="9"/>
  <c r="BS30" i="9"/>
  <c r="AO30" i="9"/>
  <c r="BO30" i="9"/>
  <c r="V30" i="9"/>
  <c r="X30" i="9"/>
  <c r="BH30" i="12"/>
  <c r="AS30" i="12"/>
  <c r="W32" i="12"/>
  <c r="AT31" i="12"/>
  <c r="AP31" i="12"/>
  <c r="X31" i="12"/>
  <c r="BT31" i="12" s="1"/>
  <c r="AO31" i="12"/>
  <c r="AS31" i="12" s="1"/>
  <c r="V31" i="12"/>
  <c r="AY31" i="12"/>
  <c r="BL31" i="12" s="1"/>
  <c r="AD31" i="12"/>
  <c r="Z31" i="12"/>
  <c r="Y31" i="12"/>
  <c r="AW31" i="12"/>
  <c r="BK31" i="12" s="1"/>
  <c r="AR31" i="12"/>
  <c r="AQ31" i="12"/>
  <c r="BR31" i="12"/>
  <c r="BO31" i="12"/>
  <c r="AA31" i="12"/>
  <c r="BS31" i="12"/>
  <c r="BP31" i="12"/>
  <c r="AF30" i="12"/>
  <c r="AX30" i="12"/>
  <c r="BM30" i="12"/>
  <c r="AE30" i="12"/>
  <c r="AB30" i="12"/>
  <c r="AC30" i="12"/>
  <c r="BM31" i="11"/>
  <c r="AB31" i="11"/>
  <c r="AC31" i="11" s="1"/>
  <c r="AX31" i="11"/>
  <c r="AF31" i="11"/>
  <c r="AE31" i="11"/>
  <c r="AS31" i="11"/>
  <c r="AR32" i="11"/>
  <c r="BO32" i="11"/>
  <c r="AG32" i="11"/>
  <c r="V32" i="11"/>
  <c r="AY32" i="11"/>
  <c r="BL32" i="11" s="1"/>
  <c r="BS32" i="11"/>
  <c r="AW32" i="11"/>
  <c r="BK32" i="11" s="1"/>
  <c r="BR32" i="11"/>
  <c r="AA32" i="11"/>
  <c r="AD32" i="11"/>
  <c r="Z32" i="11"/>
  <c r="Y32" i="11"/>
  <c r="X32" i="11"/>
  <c r="W33" i="11"/>
  <c r="BP32" i="11"/>
  <c r="AT32" i="11"/>
  <c r="AQ32" i="11"/>
  <c r="AP32" i="11"/>
  <c r="AO32" i="11"/>
  <c r="BH31" i="11"/>
  <c r="BM29" i="13"/>
  <c r="AB29" i="13"/>
  <c r="AC29" i="13" s="1"/>
  <c r="AX29" i="13"/>
  <c r="AF29" i="13"/>
  <c r="AE29" i="13"/>
  <c r="BU29" i="13"/>
  <c r="BH29" i="13"/>
  <c r="BN29" i="13" s="1"/>
  <c r="AJ28" i="13"/>
  <c r="AK29" i="13"/>
  <c r="AS29" i="13"/>
  <c r="AR30" i="13"/>
  <c r="BQ30" i="13"/>
  <c r="BP30" i="13"/>
  <c r="AY30" i="13"/>
  <c r="BL30" i="13" s="1"/>
  <c r="BX30" i="13"/>
  <c r="X30" i="13"/>
  <c r="AQ30" i="13"/>
  <c r="AV30" i="13"/>
  <c r="BJ30" i="13" s="1"/>
  <c r="Y30" i="13"/>
  <c r="BO30" i="13"/>
  <c r="BU30" i="13" s="1"/>
  <c r="AO30" i="13"/>
  <c r="AG30" i="13"/>
  <c r="AW30" i="13"/>
  <c r="BK30" i="13" s="1"/>
  <c r="AU30" i="13"/>
  <c r="BI30" i="13" s="1"/>
  <c r="W31" i="13"/>
  <c r="AT30" i="13"/>
  <c r="AP30" i="13"/>
  <c r="BS30" i="13"/>
  <c r="AD30" i="13"/>
  <c r="BR30" i="13"/>
  <c r="AA30" i="13"/>
  <c r="AK30" i="13" s="1"/>
  <c r="Z30" i="13"/>
  <c r="V30" i="13"/>
  <c r="W32" i="17"/>
  <c r="X31" i="17"/>
  <c r="AY31" i="17" s="1"/>
  <c r="W31" i="10"/>
  <c r="X30" i="10"/>
  <c r="BV29" i="13" l="1"/>
  <c r="BY29" i="13" s="1"/>
  <c r="CE31" i="9"/>
  <c r="CA31" i="10"/>
  <c r="BD32" i="22"/>
  <c r="AM32" i="22"/>
  <c r="BN33" i="22"/>
  <c r="BV33" i="22" s="1"/>
  <c r="AS34" i="22"/>
  <c r="AK34" i="22"/>
  <c r="BC33" i="22"/>
  <c r="AI33" i="22"/>
  <c r="AJ33" i="22" s="1"/>
  <c r="BM34" i="22"/>
  <c r="AF34" i="22"/>
  <c r="AX34" i="22"/>
  <c r="BB34" i="22" s="1"/>
  <c r="BT34" i="22"/>
  <c r="BU34" i="22" s="1"/>
  <c r="AE34" i="22"/>
  <c r="AI34" i="22" s="1"/>
  <c r="AB34" i="22"/>
  <c r="AC34" i="22" s="1"/>
  <c r="BP35" i="22"/>
  <c r="AZ35" i="22"/>
  <c r="V35" i="22"/>
  <c r="BO35" i="22"/>
  <c r="AY35" i="22"/>
  <c r="BL35" i="22" s="1"/>
  <c r="W36" i="22"/>
  <c r="AW35" i="22"/>
  <c r="BK35" i="22" s="1"/>
  <c r="AG35" i="22"/>
  <c r="BQ35" i="22"/>
  <c r="Z35" i="22"/>
  <c r="Y35" i="22"/>
  <c r="BS35" i="22"/>
  <c r="AT35" i="22"/>
  <c r="X35" i="22"/>
  <c r="BR35" i="22"/>
  <c r="AR35" i="22"/>
  <c r="AQ35" i="22"/>
  <c r="BX35" i="22"/>
  <c r="AD35" i="22"/>
  <c r="AA35" i="22"/>
  <c r="AP35" i="22"/>
  <c r="AO35" i="22"/>
  <c r="AV35" i="22"/>
  <c r="BJ35" i="22" s="1"/>
  <c r="AU35" i="22"/>
  <c r="BI35" i="22" s="1"/>
  <c r="BH34" i="22"/>
  <c r="BN34" i="22" s="1"/>
  <c r="AH31" i="17"/>
  <c r="AB31" i="17"/>
  <c r="AI31" i="11"/>
  <c r="AJ31" i="11" s="1"/>
  <c r="AI29" i="13"/>
  <c r="AJ29" i="13" s="1"/>
  <c r="BH30" i="9"/>
  <c r="AB30" i="9"/>
  <c r="AC30" i="9" s="1"/>
  <c r="AX30" i="9"/>
  <c r="AF30" i="9"/>
  <c r="BM30" i="9"/>
  <c r="W32" i="9"/>
  <c r="BS31" i="9"/>
  <c r="AO31" i="9"/>
  <c r="X31" i="9"/>
  <c r="AP31" i="9"/>
  <c r="V31" i="9"/>
  <c r="AT31" i="9"/>
  <c r="Y31" i="9"/>
  <c r="Z31" i="9"/>
  <c r="BO31" i="9"/>
  <c r="AQ31" i="9"/>
  <c r="AA31" i="9"/>
  <c r="AD31" i="9"/>
  <c r="AF31" i="12"/>
  <c r="AE31" i="12"/>
  <c r="AX31" i="12"/>
  <c r="AB31" i="12"/>
  <c r="BM31" i="12"/>
  <c r="BH31" i="12"/>
  <c r="AR32" i="12"/>
  <c r="AQ32" i="12"/>
  <c r="V32" i="12"/>
  <c r="BO32" i="12"/>
  <c r="AT32" i="12"/>
  <c r="X32" i="12"/>
  <c r="BT32" i="12" s="1"/>
  <c r="AP32" i="12"/>
  <c r="AO32" i="12"/>
  <c r="BP32" i="12"/>
  <c r="AD32" i="12"/>
  <c r="AA32" i="12"/>
  <c r="Z32" i="12"/>
  <c r="AY32" i="12"/>
  <c r="BL32" i="12" s="1"/>
  <c r="Y32" i="12"/>
  <c r="AW32" i="12"/>
  <c r="BK32" i="12" s="1"/>
  <c r="W33" i="12"/>
  <c r="BS32" i="12"/>
  <c r="BR32" i="12"/>
  <c r="AC31" i="12"/>
  <c r="AW33" i="11"/>
  <c r="BK33" i="11" s="1"/>
  <c r="AG33" i="11"/>
  <c r="AR33" i="11"/>
  <c r="AA33" i="11"/>
  <c r="BO33" i="11"/>
  <c r="AD33" i="11"/>
  <c r="Y33" i="11"/>
  <c r="BS33" i="11"/>
  <c r="X33" i="11"/>
  <c r="Z33" i="11"/>
  <c r="AY33" i="11"/>
  <c r="BL33" i="11" s="1"/>
  <c r="V33" i="11"/>
  <c r="BR33" i="11"/>
  <c r="BP33" i="11"/>
  <c r="AT33" i="11"/>
  <c r="AQ33" i="11"/>
  <c r="AP33" i="11"/>
  <c r="AO33" i="11"/>
  <c r="W34" i="11"/>
  <c r="AC32" i="11"/>
  <c r="AB32" i="11"/>
  <c r="AX32" i="11"/>
  <c r="AF32" i="11"/>
  <c r="AE32" i="11"/>
  <c r="BM32" i="11"/>
  <c r="AS32" i="11"/>
  <c r="BH32" i="11"/>
  <c r="BH30" i="13"/>
  <c r="AB30" i="13"/>
  <c r="AC30" i="13" s="1"/>
  <c r="BM30" i="13"/>
  <c r="AF30" i="13"/>
  <c r="AE30" i="13"/>
  <c r="AI30" i="13" s="1"/>
  <c r="AX30" i="13"/>
  <c r="BR31" i="13"/>
  <c r="AW31" i="13"/>
  <c r="BK31" i="13" s="1"/>
  <c r="AG31" i="13"/>
  <c r="AU31" i="13"/>
  <c r="BI31" i="13" s="1"/>
  <c r="AT31" i="13"/>
  <c r="W32" i="13"/>
  <c r="AD31" i="13"/>
  <c r="AY31" i="13"/>
  <c r="BL31" i="13" s="1"/>
  <c r="AA31" i="13"/>
  <c r="BP31" i="13"/>
  <c r="AP31" i="13"/>
  <c r="BO31" i="13"/>
  <c r="BS31" i="13"/>
  <c r="Y31" i="13"/>
  <c r="BQ31" i="13"/>
  <c r="X31" i="13"/>
  <c r="V31" i="13"/>
  <c r="AV31" i="13"/>
  <c r="BJ31" i="13" s="1"/>
  <c r="BX31" i="13"/>
  <c r="AR31" i="13"/>
  <c r="AQ31" i="13"/>
  <c r="AO31" i="13"/>
  <c r="Z31" i="13"/>
  <c r="AS30" i="13"/>
  <c r="W33" i="17"/>
  <c r="X32" i="17"/>
  <c r="AY32" i="17" s="1"/>
  <c r="X31" i="10"/>
  <c r="W32" i="10"/>
  <c r="BC34" i="22" l="1"/>
  <c r="BD34" i="22" s="1"/>
  <c r="AS33" i="11"/>
  <c r="CE32" i="9"/>
  <c r="CA32" i="10"/>
  <c r="BD33" i="22"/>
  <c r="AM33" i="22"/>
  <c r="BV34" i="22"/>
  <c r="AJ34" i="22"/>
  <c r="AK35" i="22"/>
  <c r="BM35" i="22"/>
  <c r="AB35" i="22"/>
  <c r="BT35" i="22"/>
  <c r="AE35" i="22"/>
  <c r="AX35" i="22"/>
  <c r="BB35" i="22" s="1"/>
  <c r="AF35" i="22"/>
  <c r="AI35" i="22" s="1"/>
  <c r="AC35" i="22"/>
  <c r="AP36" i="22"/>
  <c r="Z36" i="22"/>
  <c r="BS36" i="22"/>
  <c r="AO36" i="22"/>
  <c r="Y36" i="22"/>
  <c r="BR36" i="22"/>
  <c r="BQ36" i="22"/>
  <c r="BP36" i="22"/>
  <c r="AZ36" i="22"/>
  <c r="BX36" i="22"/>
  <c r="AW36" i="22"/>
  <c r="BK36" i="22" s="1"/>
  <c r="AD36" i="22"/>
  <c r="AG36" i="22"/>
  <c r="AR36" i="22"/>
  <c r="W37" i="22"/>
  <c r="AQ36" i="22"/>
  <c r="AY36" i="22"/>
  <c r="BL36" i="22" s="1"/>
  <c r="AT36" i="22"/>
  <c r="BO36" i="22"/>
  <c r="V36" i="22"/>
  <c r="AA36" i="22"/>
  <c r="X36" i="22"/>
  <c r="AV36" i="22"/>
  <c r="BJ36" i="22" s="1"/>
  <c r="AU36" i="22"/>
  <c r="BI36" i="22" s="1"/>
  <c r="BU35" i="22"/>
  <c r="AS35" i="22"/>
  <c r="BH35" i="22"/>
  <c r="BN35" i="22" s="1"/>
  <c r="AH32" i="17"/>
  <c r="AB32" i="17"/>
  <c r="AI32" i="11"/>
  <c r="AJ32" i="11" s="1"/>
  <c r="BH31" i="9"/>
  <c r="V32" i="9"/>
  <c r="AD32" i="9"/>
  <c r="BO32" i="9"/>
  <c r="W33" i="9"/>
  <c r="AO32" i="9"/>
  <c r="AP32" i="9"/>
  <c r="AA32" i="9"/>
  <c r="BS32" i="9"/>
  <c r="AT32" i="9"/>
  <c r="X32" i="9"/>
  <c r="Y32" i="9"/>
  <c r="Z32" i="9"/>
  <c r="AQ32" i="9"/>
  <c r="AF31" i="9"/>
  <c r="BM31" i="9"/>
  <c r="AB31" i="9"/>
  <c r="AC31" i="9" s="1"/>
  <c r="AX31" i="9"/>
  <c r="AS32" i="12"/>
  <c r="AW33" i="12"/>
  <c r="BK33" i="12" s="1"/>
  <c r="BO33" i="12"/>
  <c r="BS33" i="12"/>
  <c r="AA33" i="12"/>
  <c r="AD33" i="12"/>
  <c r="AY33" i="12"/>
  <c r="BL33" i="12" s="1"/>
  <c r="BR33" i="12"/>
  <c r="AP33" i="12"/>
  <c r="BP33" i="12"/>
  <c r="AO33" i="12"/>
  <c r="Z33" i="12"/>
  <c r="Y33" i="12"/>
  <c r="AT33" i="12"/>
  <c r="X33" i="12"/>
  <c r="BT33" i="12" s="1"/>
  <c r="V33" i="12"/>
  <c r="W34" i="12"/>
  <c r="AR33" i="12"/>
  <c r="AQ33" i="12"/>
  <c r="AB32" i="12"/>
  <c r="AC32" i="12" s="1"/>
  <c r="BM32" i="12"/>
  <c r="AF32" i="12"/>
  <c r="AE32" i="12"/>
  <c r="AX32" i="12"/>
  <c r="BH32" i="12"/>
  <c r="BH33" i="11"/>
  <c r="BR34" i="11"/>
  <c r="X34" i="11"/>
  <c r="BS34" i="11"/>
  <c r="AY34" i="11"/>
  <c r="BL34" i="11" s="1"/>
  <c r="AG34" i="11"/>
  <c r="AT34" i="11"/>
  <c r="AQ34" i="11"/>
  <c r="V34" i="11"/>
  <c r="AP34" i="11"/>
  <c r="BO34" i="11"/>
  <c r="AR34" i="11"/>
  <c r="AO34" i="11"/>
  <c r="AS34" i="11" s="1"/>
  <c r="AD34" i="11"/>
  <c r="AA34" i="11"/>
  <c r="W35" i="11"/>
  <c r="Z34" i="11"/>
  <c r="Y34" i="11"/>
  <c r="BP34" i="11"/>
  <c r="AW34" i="11"/>
  <c r="BK34" i="11" s="1"/>
  <c r="BM33" i="11"/>
  <c r="AX33" i="11"/>
  <c r="AE33" i="11"/>
  <c r="AI33" i="11" s="1"/>
  <c r="AB33" i="11"/>
  <c r="AC33" i="11" s="1"/>
  <c r="AF33" i="11"/>
  <c r="AJ30" i="13"/>
  <c r="BH31" i="13"/>
  <c r="BM31" i="13"/>
  <c r="AB31" i="13"/>
  <c r="AC31" i="13" s="1"/>
  <c r="AF31" i="13"/>
  <c r="AX31" i="13"/>
  <c r="AE31" i="13"/>
  <c r="BU31" i="13"/>
  <c r="AS31" i="13"/>
  <c r="AK31" i="13"/>
  <c r="AI31" i="13"/>
  <c r="BX32" i="13"/>
  <c r="BR32" i="13"/>
  <c r="X32" i="13"/>
  <c r="AT32" i="13"/>
  <c r="AA32" i="13"/>
  <c r="AR32" i="13"/>
  <c r="Z32" i="13"/>
  <c r="BO32" i="13"/>
  <c r="AU32" i="13"/>
  <c r="BI32" i="13" s="1"/>
  <c r="AO32" i="13"/>
  <c r="BQ32" i="13"/>
  <c r="BP32" i="13"/>
  <c r="AG32" i="13"/>
  <c r="AY32" i="13"/>
  <c r="BL32" i="13" s="1"/>
  <c r="AW32" i="13"/>
  <c r="BK32" i="13" s="1"/>
  <c r="W33" i="13"/>
  <c r="AV32" i="13"/>
  <c r="BJ32" i="13" s="1"/>
  <c r="AQ32" i="13"/>
  <c r="AD32" i="13"/>
  <c r="AP32" i="13"/>
  <c r="V32" i="13"/>
  <c r="BS32" i="13"/>
  <c r="Y32" i="13"/>
  <c r="BN30" i="13"/>
  <c r="BV30" i="13" s="1"/>
  <c r="BY30" i="13" s="1"/>
  <c r="X33" i="17"/>
  <c r="AY33" i="17" s="1"/>
  <c r="W34" i="17"/>
  <c r="X32" i="10"/>
  <c r="W33" i="10"/>
  <c r="CE33" i="9" l="1"/>
  <c r="CA33" i="10"/>
  <c r="AS32" i="13"/>
  <c r="AM34" i="22"/>
  <c r="AJ33" i="11"/>
  <c r="BV35" i="22"/>
  <c r="AS36" i="22"/>
  <c r="AK36" i="22"/>
  <c r="BH36" i="22"/>
  <c r="AJ35" i="22"/>
  <c r="BC35" i="22"/>
  <c r="AT37" i="22"/>
  <c r="AD37" i="22"/>
  <c r="BX37" i="22"/>
  <c r="AR37" i="22"/>
  <c r="AQ37" i="22"/>
  <c r="AA37" i="22"/>
  <c r="BO37" i="22"/>
  <c r="AO37" i="22"/>
  <c r="BP37" i="22"/>
  <c r="AG37" i="22"/>
  <c r="Z37" i="22"/>
  <c r="AP37" i="22"/>
  <c r="Y37" i="22"/>
  <c r="BS37" i="22"/>
  <c r="X37" i="22"/>
  <c r="BR37" i="22"/>
  <c r="BQ37" i="22"/>
  <c r="V37" i="22"/>
  <c r="W38" i="22"/>
  <c r="AZ37" i="22"/>
  <c r="AY37" i="22"/>
  <c r="BL37" i="22" s="1"/>
  <c r="AW37" i="22"/>
  <c r="BK37" i="22" s="1"/>
  <c r="AV37" i="22"/>
  <c r="BJ37" i="22" s="1"/>
  <c r="AU37" i="22"/>
  <c r="BI37" i="22" s="1"/>
  <c r="BT36" i="22"/>
  <c r="BU36" i="22" s="1"/>
  <c r="AB36" i="22"/>
  <c r="AC36" i="22" s="1"/>
  <c r="BM36" i="22"/>
  <c r="AF36" i="22"/>
  <c r="AX36" i="22"/>
  <c r="BB36" i="22" s="1"/>
  <c r="AE36" i="22"/>
  <c r="AI36" i="22" s="1"/>
  <c r="AH33" i="17"/>
  <c r="AB33" i="17"/>
  <c r="AJ31" i="13"/>
  <c r="AB32" i="9"/>
  <c r="AC32" i="9" s="1"/>
  <c r="BM32" i="9"/>
  <c r="AF32" i="9"/>
  <c r="AX32" i="9"/>
  <c r="BH32" i="9"/>
  <c r="Z33" i="9"/>
  <c r="AP33" i="9"/>
  <c r="AA33" i="9"/>
  <c r="AQ33" i="9"/>
  <c r="AT33" i="9"/>
  <c r="V33" i="9"/>
  <c r="W34" i="9"/>
  <c r="AO33" i="9"/>
  <c r="BS33" i="9"/>
  <c r="X33" i="9"/>
  <c r="BO33" i="9"/>
  <c r="Y33" i="9"/>
  <c r="AD33" i="9"/>
  <c r="BH33" i="12"/>
  <c r="AS33" i="12"/>
  <c r="BM33" i="12"/>
  <c r="AX33" i="12"/>
  <c r="AF33" i="12"/>
  <c r="AE33" i="12"/>
  <c r="AB33" i="12"/>
  <c r="AC33" i="12"/>
  <c r="BR34" i="12"/>
  <c r="X34" i="12"/>
  <c r="BT34" i="12" s="1"/>
  <c r="AR34" i="12"/>
  <c r="AA34" i="12"/>
  <c r="AY34" i="12"/>
  <c r="BL34" i="12" s="1"/>
  <c r="BP34" i="12"/>
  <c r="V34" i="12"/>
  <c r="AQ34" i="12"/>
  <c r="AP34" i="12"/>
  <c r="AO34" i="12"/>
  <c r="W35" i="12"/>
  <c r="AT34" i="12"/>
  <c r="BS34" i="12"/>
  <c r="BO34" i="12"/>
  <c r="Z34" i="12"/>
  <c r="Y34" i="12"/>
  <c r="AW34" i="12"/>
  <c r="BK34" i="12" s="1"/>
  <c r="AD34" i="12"/>
  <c r="AB34" i="11"/>
  <c r="AE34" i="11"/>
  <c r="AX34" i="11"/>
  <c r="BM34" i="11"/>
  <c r="AF34" i="11"/>
  <c r="AC34" i="11"/>
  <c r="BP35" i="11"/>
  <c r="W36" i="11"/>
  <c r="AQ35" i="11"/>
  <c r="Y35" i="11"/>
  <c r="BR35" i="11"/>
  <c r="AW35" i="11"/>
  <c r="BK35" i="11" s="1"/>
  <c r="AA35" i="11"/>
  <c r="Z35" i="11"/>
  <c r="AG35" i="11"/>
  <c r="AD35" i="11"/>
  <c r="X35" i="11"/>
  <c r="V35" i="11"/>
  <c r="AY35" i="11"/>
  <c r="BL35" i="11" s="1"/>
  <c r="AT35" i="11"/>
  <c r="AR35" i="11"/>
  <c r="AP35" i="11"/>
  <c r="AO35" i="11"/>
  <c r="BS35" i="11"/>
  <c r="BO35" i="11"/>
  <c r="BH34" i="11"/>
  <c r="BU32" i="13"/>
  <c r="AK32" i="13"/>
  <c r="BH32" i="13"/>
  <c r="BM32" i="13"/>
  <c r="AF32" i="13"/>
  <c r="AX32" i="13"/>
  <c r="AE32" i="13"/>
  <c r="AB32" i="13"/>
  <c r="AC32" i="13" s="1"/>
  <c r="BX33" i="13"/>
  <c r="W34" i="13"/>
  <c r="AQ33" i="13"/>
  <c r="Y33" i="13"/>
  <c r="AP33" i="13"/>
  <c r="X33" i="13"/>
  <c r="AD33" i="13"/>
  <c r="AY33" i="13"/>
  <c r="BL33" i="13" s="1"/>
  <c r="BP33" i="13"/>
  <c r="BO33" i="13"/>
  <c r="BU33" i="13" s="1"/>
  <c r="AG33" i="13"/>
  <c r="BS33" i="13"/>
  <c r="AA33" i="13"/>
  <c r="BR33" i="13"/>
  <c r="Z33" i="13"/>
  <c r="BQ33" i="13"/>
  <c r="V33" i="13"/>
  <c r="AU33" i="13"/>
  <c r="BI33" i="13" s="1"/>
  <c r="AT33" i="13"/>
  <c r="AR33" i="13"/>
  <c r="AO33" i="13"/>
  <c r="AW33" i="13"/>
  <c r="BK33" i="13" s="1"/>
  <c r="AV33" i="13"/>
  <c r="BJ33" i="13" s="1"/>
  <c r="BN31" i="13"/>
  <c r="BV31" i="13" s="1"/>
  <c r="BY31" i="13" s="1"/>
  <c r="W35" i="17"/>
  <c r="X34" i="17"/>
  <c r="AH34" i="17" s="1"/>
  <c r="X33" i="10"/>
  <c r="W34" i="10"/>
  <c r="AS34" i="12" l="1"/>
  <c r="CE34" i="9"/>
  <c r="CA34" i="10"/>
  <c r="AS33" i="13"/>
  <c r="BD35" i="22"/>
  <c r="AM35" i="22"/>
  <c r="BC36" i="22"/>
  <c r="AJ36" i="22"/>
  <c r="BP38" i="22"/>
  <c r="AZ38" i="22"/>
  <c r="V38" i="22"/>
  <c r="BO38" i="22"/>
  <c r="AY38" i="22"/>
  <c r="BL38" i="22" s="1"/>
  <c r="AW38" i="22"/>
  <c r="BK38" i="22" s="1"/>
  <c r="AG38" i="22"/>
  <c r="W39" i="22"/>
  <c r="BQ38" i="22"/>
  <c r="AO38" i="22"/>
  <c r="AD38" i="22"/>
  <c r="AA38" i="22"/>
  <c r="Y38" i="22"/>
  <c r="BS38" i="22"/>
  <c r="X38" i="22"/>
  <c r="Z38" i="22"/>
  <c r="AT38" i="22"/>
  <c r="BX38" i="22"/>
  <c r="AQ38" i="22"/>
  <c r="BR38" i="22"/>
  <c r="AR38" i="22"/>
  <c r="AP38" i="22"/>
  <c r="AV38" i="22"/>
  <c r="BJ38" i="22" s="1"/>
  <c r="AU38" i="22"/>
  <c r="BI38" i="22" s="1"/>
  <c r="BN36" i="22"/>
  <c r="BV36" i="22" s="1"/>
  <c r="BH37" i="22"/>
  <c r="BN37" i="22" s="1"/>
  <c r="AS37" i="22"/>
  <c r="AE37" i="22"/>
  <c r="AB37" i="22"/>
  <c r="AC37" i="22" s="1"/>
  <c r="BM37" i="22"/>
  <c r="AF37" i="22"/>
  <c r="BT37" i="22"/>
  <c r="AX37" i="22"/>
  <c r="BB37" i="22" s="1"/>
  <c r="BU37" i="22"/>
  <c r="AK37" i="22"/>
  <c r="AY34" i="17"/>
  <c r="AB34" i="17"/>
  <c r="AI34" i="11"/>
  <c r="AJ34" i="11" s="1"/>
  <c r="AI32" i="13"/>
  <c r="AJ32" i="13" s="1"/>
  <c r="AB33" i="9"/>
  <c r="AC33" i="9" s="1"/>
  <c r="BM33" i="9"/>
  <c r="AF33" i="9"/>
  <c r="AX33" i="9"/>
  <c r="BH33" i="9"/>
  <c r="AD34" i="9"/>
  <c r="AT34" i="9"/>
  <c r="X34" i="9"/>
  <c r="AP34" i="9"/>
  <c r="Y34" i="9"/>
  <c r="AQ34" i="9"/>
  <c r="W35" i="9"/>
  <c r="BO34" i="9"/>
  <c r="AO34" i="9"/>
  <c r="Z34" i="9"/>
  <c r="V34" i="9"/>
  <c r="AA34" i="9"/>
  <c r="BS34" i="9"/>
  <c r="AX34" i="12"/>
  <c r="AF34" i="12"/>
  <c r="BM34" i="12"/>
  <c r="AE34" i="12"/>
  <c r="AB34" i="12"/>
  <c r="AC34" i="12" s="1"/>
  <c r="BR35" i="12"/>
  <c r="BO35" i="12"/>
  <c r="AW35" i="12"/>
  <c r="BK35" i="12" s="1"/>
  <c r="AD35" i="12"/>
  <c r="AO35" i="12"/>
  <c r="AY35" i="12"/>
  <c r="BL35" i="12" s="1"/>
  <c r="AA35" i="12"/>
  <c r="V35" i="12"/>
  <c r="AT35" i="12"/>
  <c r="W36" i="12"/>
  <c r="AR35" i="12"/>
  <c r="AQ35" i="12"/>
  <c r="BS35" i="12"/>
  <c r="AP35" i="12"/>
  <c r="X35" i="12"/>
  <c r="BT35" i="12" s="1"/>
  <c r="BP35" i="12"/>
  <c r="Z35" i="12"/>
  <c r="Y35" i="12"/>
  <c r="BH34" i="12"/>
  <c r="BH35" i="11"/>
  <c r="AP36" i="11"/>
  <c r="Y36" i="11"/>
  <c r="AO36" i="11"/>
  <c r="AG36" i="11"/>
  <c r="AY36" i="11"/>
  <c r="BL36" i="11" s="1"/>
  <c r="AA36" i="11"/>
  <c r="AW36" i="11"/>
  <c r="BK36" i="11" s="1"/>
  <c r="Z36" i="11"/>
  <c r="AD36" i="11"/>
  <c r="X36" i="11"/>
  <c r="V36" i="11"/>
  <c r="AT36" i="11"/>
  <c r="AR36" i="11"/>
  <c r="AQ36" i="11"/>
  <c r="W37" i="11"/>
  <c r="BS36" i="11"/>
  <c r="BR36" i="11"/>
  <c r="BP36" i="11"/>
  <c r="BO36" i="11"/>
  <c r="BM35" i="11"/>
  <c r="AE35" i="11"/>
  <c r="AX35" i="11"/>
  <c r="AF35" i="11"/>
  <c r="AI35" i="11" s="1"/>
  <c r="AB35" i="11"/>
  <c r="AS35" i="11"/>
  <c r="AC35" i="11"/>
  <c r="BN32" i="13"/>
  <c r="BV32" i="13" s="1"/>
  <c r="BY32" i="13" s="1"/>
  <c r="BH33" i="13"/>
  <c r="AX33" i="13"/>
  <c r="AE33" i="13"/>
  <c r="AB33" i="13"/>
  <c r="BM33" i="13"/>
  <c r="AF33" i="13"/>
  <c r="AC33" i="13"/>
  <c r="BS34" i="13"/>
  <c r="AO34" i="13"/>
  <c r="Y34" i="13"/>
  <c r="AP34" i="13"/>
  <c r="BX34" i="13"/>
  <c r="V34" i="13"/>
  <c r="AR34" i="13"/>
  <c r="AQ34" i="13"/>
  <c r="AD34" i="13"/>
  <c r="BQ34" i="13"/>
  <c r="BP34" i="13"/>
  <c r="BO34" i="13"/>
  <c r="AG34" i="13"/>
  <c r="AY34" i="13"/>
  <c r="BL34" i="13" s="1"/>
  <c r="AW34" i="13"/>
  <c r="BK34" i="13" s="1"/>
  <c r="AV34" i="13"/>
  <c r="BJ34" i="13" s="1"/>
  <c r="W35" i="13"/>
  <c r="AT34" i="13"/>
  <c r="AU34" i="13"/>
  <c r="BI34" i="13" s="1"/>
  <c r="BR34" i="13"/>
  <c r="AA34" i="13"/>
  <c r="Z34" i="13"/>
  <c r="X34" i="13"/>
  <c r="AK33" i="13"/>
  <c r="W36" i="17"/>
  <c r="X35" i="17"/>
  <c r="AH35" i="17" s="1"/>
  <c r="W35" i="10"/>
  <c r="X34" i="10"/>
  <c r="CE35" i="9" l="1"/>
  <c r="CA35" i="10"/>
  <c r="AS34" i="13"/>
  <c r="BD36" i="22"/>
  <c r="AM36" i="22"/>
  <c r="BV37" i="22"/>
  <c r="AS38" i="22"/>
  <c r="AK38" i="22"/>
  <c r="AI37" i="22"/>
  <c r="AJ37" i="22" s="1"/>
  <c r="BH38" i="22"/>
  <c r="BC37" i="22"/>
  <c r="AX38" i="22"/>
  <c r="BB38" i="22" s="1"/>
  <c r="BM38" i="22"/>
  <c r="AF38" i="22"/>
  <c r="AE38" i="22"/>
  <c r="AI38" i="22" s="1"/>
  <c r="AB38" i="22"/>
  <c r="AC38" i="22" s="1"/>
  <c r="BT38" i="22"/>
  <c r="BU38" i="22" s="1"/>
  <c r="AQ39" i="22"/>
  <c r="AA39" i="22"/>
  <c r="AP39" i="22"/>
  <c r="Z39" i="22"/>
  <c r="BS39" i="22"/>
  <c r="AO39" i="22"/>
  <c r="Y39" i="22"/>
  <c r="BR39" i="22"/>
  <c r="X39" i="22"/>
  <c r="BQ39" i="22"/>
  <c r="BX39" i="22"/>
  <c r="AW39" i="22"/>
  <c r="BK39" i="22" s="1"/>
  <c r="BP39" i="22"/>
  <c r="AG39" i="22"/>
  <c r="AD39" i="22"/>
  <c r="AZ39" i="22"/>
  <c r="AY39" i="22"/>
  <c r="BL39" i="22" s="1"/>
  <c r="AT39" i="22"/>
  <c r="W40" i="22"/>
  <c r="AR39" i="22"/>
  <c r="V39" i="22"/>
  <c r="BO39" i="22"/>
  <c r="AV39" i="22"/>
  <c r="BJ39" i="22" s="1"/>
  <c r="AU39" i="22"/>
  <c r="BI39" i="22" s="1"/>
  <c r="AY35" i="17"/>
  <c r="AB35" i="17"/>
  <c r="AI33" i="13"/>
  <c r="BO35" i="9"/>
  <c r="V35" i="9"/>
  <c r="AO35" i="9"/>
  <c r="AA35" i="9"/>
  <c r="W36" i="9"/>
  <c r="AT35" i="9"/>
  <c r="AQ35" i="9"/>
  <c r="BS35" i="9"/>
  <c r="AP35" i="9"/>
  <c r="X35" i="9"/>
  <c r="Z35" i="9"/>
  <c r="Y35" i="9"/>
  <c r="AD35" i="9"/>
  <c r="AF34" i="9"/>
  <c r="AX34" i="9"/>
  <c r="AB34" i="9"/>
  <c r="AC34" i="9" s="1"/>
  <c r="BM34" i="9"/>
  <c r="BH34" i="9"/>
  <c r="BH35" i="12"/>
  <c r="AD36" i="12"/>
  <c r="AT36" i="12"/>
  <c r="AA36" i="12"/>
  <c r="Y36" i="12"/>
  <c r="BP36" i="12"/>
  <c r="AQ36" i="12"/>
  <c r="V36" i="12"/>
  <c r="BO36" i="12"/>
  <c r="AP36" i="12"/>
  <c r="AO36" i="12"/>
  <c r="Z36" i="12"/>
  <c r="X36" i="12"/>
  <c r="BT36" i="12" s="1"/>
  <c r="W37" i="12"/>
  <c r="AY36" i="12"/>
  <c r="BL36" i="12" s="1"/>
  <c r="AR36" i="12"/>
  <c r="BS36" i="12"/>
  <c r="BR36" i="12"/>
  <c r="AW36" i="12"/>
  <c r="BK36" i="12" s="1"/>
  <c r="AE35" i="12"/>
  <c r="AF35" i="12"/>
  <c r="AB35" i="12"/>
  <c r="AC35" i="12" s="1"/>
  <c r="AX35" i="12"/>
  <c r="BM35" i="12"/>
  <c r="AS35" i="12"/>
  <c r="BH36" i="11"/>
  <c r="AJ35" i="11"/>
  <c r="AX36" i="11"/>
  <c r="BM36" i="11"/>
  <c r="AF36" i="11"/>
  <c r="AE36" i="11"/>
  <c r="AB36" i="11"/>
  <c r="AC36" i="11" s="1"/>
  <c r="BS37" i="11"/>
  <c r="AO37" i="11"/>
  <c r="Y37" i="11"/>
  <c r="BP37" i="11"/>
  <c r="AY37" i="11"/>
  <c r="BL37" i="11" s="1"/>
  <c r="AA37" i="11"/>
  <c r="AP37" i="11"/>
  <c r="AT37" i="11"/>
  <c r="V37" i="11"/>
  <c r="BO37" i="11"/>
  <c r="AR37" i="11"/>
  <c r="AD37" i="11"/>
  <c r="W38" i="11"/>
  <c r="Z37" i="11"/>
  <c r="AQ37" i="11"/>
  <c r="AG37" i="11"/>
  <c r="X37" i="11"/>
  <c r="BR37" i="11"/>
  <c r="AW37" i="11"/>
  <c r="BK37" i="11" s="1"/>
  <c r="AS36" i="11"/>
  <c r="AI36" i="11"/>
  <c r="AJ33" i="13"/>
  <c r="BU34" i="13"/>
  <c r="AX34" i="13"/>
  <c r="BM34" i="13"/>
  <c r="AF34" i="13"/>
  <c r="AE34" i="13"/>
  <c r="AB34" i="13"/>
  <c r="AK34" i="13"/>
  <c r="AI34" i="13"/>
  <c r="BH34" i="13"/>
  <c r="BN34" i="13" s="1"/>
  <c r="BN33" i="13"/>
  <c r="BV33" i="13" s="1"/>
  <c r="BY33" i="13" s="1"/>
  <c r="AT35" i="13"/>
  <c r="AD35" i="13"/>
  <c r="BS35" i="13"/>
  <c r="AO35" i="13"/>
  <c r="Y35" i="13"/>
  <c r="X35" i="13"/>
  <c r="BX35" i="13"/>
  <c r="AY35" i="13"/>
  <c r="BL35" i="13" s="1"/>
  <c r="AA35" i="13"/>
  <c r="AK35" i="13" s="1"/>
  <c r="BP35" i="13"/>
  <c r="AP35" i="13"/>
  <c r="BO35" i="13"/>
  <c r="BU35" i="13" s="1"/>
  <c r="AR35" i="13"/>
  <c r="AQ35" i="13"/>
  <c r="W36" i="13"/>
  <c r="AG35" i="13"/>
  <c r="BR35" i="13"/>
  <c r="V35" i="13"/>
  <c r="BQ35" i="13"/>
  <c r="Z35" i="13"/>
  <c r="AV35" i="13"/>
  <c r="BJ35" i="13" s="1"/>
  <c r="AU35" i="13"/>
  <c r="BI35" i="13" s="1"/>
  <c r="AW35" i="13"/>
  <c r="BK35" i="13" s="1"/>
  <c r="AC34" i="13"/>
  <c r="AJ34" i="13" s="1"/>
  <c r="W37" i="17"/>
  <c r="X36" i="17"/>
  <c r="AH36" i="17" s="1"/>
  <c r="W36" i="10"/>
  <c r="X35" i="10"/>
  <c r="AS37" i="11" l="1"/>
  <c r="AS36" i="12"/>
  <c r="CE36" i="9"/>
  <c r="CA36" i="10"/>
  <c r="BD37" i="22"/>
  <c r="AM37" i="22"/>
  <c r="BC38" i="22"/>
  <c r="AJ38" i="22"/>
  <c r="AS39" i="22"/>
  <c r="BT39" i="22"/>
  <c r="AB39" i="22"/>
  <c r="AC39" i="22" s="1"/>
  <c r="BM39" i="22"/>
  <c r="AF39" i="22"/>
  <c r="AE39" i="22"/>
  <c r="AX39" i="22"/>
  <c r="BB39" i="22" s="1"/>
  <c r="AT40" i="22"/>
  <c r="AD40" i="22"/>
  <c r="BX40" i="22"/>
  <c r="AR40" i="22"/>
  <c r="AQ40" i="22"/>
  <c r="AA40" i="22"/>
  <c r="AP40" i="22"/>
  <c r="Z40" i="22"/>
  <c r="BQ40" i="22"/>
  <c r="BO40" i="22"/>
  <c r="Y40" i="22"/>
  <c r="X40" i="22"/>
  <c r="W41" i="22"/>
  <c r="AG40" i="22"/>
  <c r="V40" i="22"/>
  <c r="AZ40" i="22"/>
  <c r="AY40" i="22"/>
  <c r="BL40" i="22" s="1"/>
  <c r="AW40" i="22"/>
  <c r="BK40" i="22" s="1"/>
  <c r="BP40" i="22"/>
  <c r="AO40" i="22"/>
  <c r="BS40" i="22"/>
  <c r="BR40" i="22"/>
  <c r="AU40" i="22"/>
  <c r="BI40" i="22" s="1"/>
  <c r="AV40" i="22"/>
  <c r="BJ40" i="22" s="1"/>
  <c r="BH39" i="22"/>
  <c r="BN39" i="22" s="1"/>
  <c r="BN38" i="22"/>
  <c r="BV38" i="22" s="1"/>
  <c r="BU39" i="22"/>
  <c r="AK39" i="22"/>
  <c r="AY36" i="17"/>
  <c r="AB36" i="17"/>
  <c r="AJ36" i="11"/>
  <c r="BV34" i="13"/>
  <c r="BY34" i="13" s="1"/>
  <c r="BH35" i="9"/>
  <c r="AX35" i="9"/>
  <c r="AB35" i="9"/>
  <c r="AC35" i="9" s="1"/>
  <c r="AF35" i="9"/>
  <c r="BM35" i="9"/>
  <c r="X36" i="9"/>
  <c r="Y36" i="9"/>
  <c r="AO36" i="9"/>
  <c r="BS36" i="9"/>
  <c r="AQ36" i="9"/>
  <c r="Z36" i="9"/>
  <c r="W37" i="9"/>
  <c r="V36" i="9"/>
  <c r="AA36" i="9"/>
  <c r="AD36" i="9"/>
  <c r="AP36" i="9"/>
  <c r="AT36" i="9"/>
  <c r="BO36" i="9"/>
  <c r="BS37" i="12"/>
  <c r="AO37" i="12"/>
  <c r="Y37" i="12"/>
  <c r="AP37" i="12"/>
  <c r="X37" i="12"/>
  <c r="BT37" i="12" s="1"/>
  <c r="AA37" i="12"/>
  <c r="W38" i="12"/>
  <c r="AR37" i="12"/>
  <c r="Z37" i="12"/>
  <c r="AY37" i="12"/>
  <c r="BL37" i="12" s="1"/>
  <c r="AD37" i="12"/>
  <c r="BO37" i="12"/>
  <c r="V37" i="12"/>
  <c r="AT37" i="12"/>
  <c r="AQ37" i="12"/>
  <c r="BR37" i="12"/>
  <c r="BP37" i="12"/>
  <c r="AW37" i="12"/>
  <c r="BK37" i="12" s="1"/>
  <c r="BH36" i="12"/>
  <c r="AX36" i="12"/>
  <c r="BM36" i="12"/>
  <c r="AB36" i="12"/>
  <c r="AC36" i="12" s="1"/>
  <c r="AE36" i="12"/>
  <c r="AF36" i="12"/>
  <c r="AF37" i="11"/>
  <c r="AE37" i="11"/>
  <c r="AI37" i="11" s="1"/>
  <c r="AB37" i="11"/>
  <c r="AC37" i="11" s="1"/>
  <c r="BM37" i="11"/>
  <c r="AX37" i="11"/>
  <c r="BH37" i="11"/>
  <c r="AT38" i="11"/>
  <c r="AD38" i="11"/>
  <c r="W39" i="11"/>
  <c r="AP38" i="11"/>
  <c r="X38" i="11"/>
  <c r="BS38" i="11"/>
  <c r="BP38" i="11"/>
  <c r="Z38" i="11"/>
  <c r="BO38" i="11"/>
  <c r="Y38" i="11"/>
  <c r="AG38" i="11"/>
  <c r="AA38" i="11"/>
  <c r="AQ38" i="11"/>
  <c r="AO38" i="11"/>
  <c r="V38" i="11"/>
  <c r="BR38" i="11"/>
  <c r="AY38" i="11"/>
  <c r="BL38" i="11" s="1"/>
  <c r="AW38" i="11"/>
  <c r="BK38" i="11" s="1"/>
  <c r="AR38" i="11"/>
  <c r="AE35" i="13"/>
  <c r="BM35" i="13"/>
  <c r="AF35" i="13"/>
  <c r="AB35" i="13"/>
  <c r="AC35" i="13" s="1"/>
  <c r="AX35" i="13"/>
  <c r="AS35" i="13"/>
  <c r="BH35" i="13"/>
  <c r="BN35" i="13" s="1"/>
  <c r="BV35" i="13" s="1"/>
  <c r="BY35" i="13" s="1"/>
  <c r="BO36" i="13"/>
  <c r="BU36" i="13" s="1"/>
  <c r="AY36" i="13"/>
  <c r="BL36" i="13" s="1"/>
  <c r="AT36" i="13"/>
  <c r="AD36" i="13"/>
  <c r="BS36" i="13"/>
  <c r="AQ36" i="13"/>
  <c r="V36" i="13"/>
  <c r="AP36" i="13"/>
  <c r="AW36" i="13"/>
  <c r="BK36" i="13" s="1"/>
  <c r="Y36" i="13"/>
  <c r="BQ36" i="13"/>
  <c r="AO36" i="13"/>
  <c r="BP36" i="13"/>
  <c r="AG36" i="13"/>
  <c r="Z36" i="13"/>
  <c r="X36" i="13"/>
  <c r="AV36" i="13"/>
  <c r="BJ36" i="13" s="1"/>
  <c r="AU36" i="13"/>
  <c r="BI36" i="13" s="1"/>
  <c r="BR36" i="13"/>
  <c r="AR36" i="13"/>
  <c r="W37" i="13"/>
  <c r="BX36" i="13"/>
  <c r="AA36" i="13"/>
  <c r="AI35" i="13"/>
  <c r="X37" i="17"/>
  <c r="AH37" i="17" s="1"/>
  <c r="W38" i="17"/>
  <c r="W37" i="10"/>
  <c r="X36" i="10"/>
  <c r="CE37" i="9" l="1"/>
  <c r="CA37" i="10"/>
  <c r="AS36" i="13"/>
  <c r="BD38" i="22"/>
  <c r="AM38" i="22"/>
  <c r="BH40" i="22"/>
  <c r="AI39" i="22"/>
  <c r="AJ39" i="22" s="1"/>
  <c r="BV39" i="22"/>
  <c r="AB40" i="22"/>
  <c r="AC40" i="22" s="1"/>
  <c r="BT40" i="22"/>
  <c r="BU40" i="22" s="1"/>
  <c r="BM40" i="22"/>
  <c r="AF40" i="22"/>
  <c r="AE40" i="22"/>
  <c r="AI40" i="22" s="1"/>
  <c r="AX40" i="22"/>
  <c r="BB40" i="22" s="1"/>
  <c r="AW41" i="22"/>
  <c r="BK41" i="22" s="1"/>
  <c r="AG41" i="22"/>
  <c r="W42" i="22"/>
  <c r="AT41" i="22"/>
  <c r="AD41" i="22"/>
  <c r="BX41" i="22"/>
  <c r="AZ41" i="22"/>
  <c r="Z41" i="22"/>
  <c r="BS41" i="22"/>
  <c r="X41" i="22"/>
  <c r="AQ41" i="22"/>
  <c r="AO41" i="22"/>
  <c r="BR41" i="22"/>
  <c r="BQ41" i="22"/>
  <c r="BP41" i="22"/>
  <c r="AP41" i="22"/>
  <c r="Y41" i="22"/>
  <c r="V41" i="22"/>
  <c r="BO41" i="22"/>
  <c r="AY41" i="22"/>
  <c r="BL41" i="22" s="1"/>
  <c r="AR41" i="22"/>
  <c r="AA41" i="22"/>
  <c r="AU41" i="22"/>
  <c r="BI41" i="22" s="1"/>
  <c r="AV41" i="22"/>
  <c r="BJ41" i="22" s="1"/>
  <c r="AS40" i="22"/>
  <c r="AK40" i="22"/>
  <c r="BC39" i="22"/>
  <c r="AY37" i="17"/>
  <c r="AB37" i="17"/>
  <c r="AJ37" i="11"/>
  <c r="AJ35" i="13"/>
  <c r="AB36" i="9"/>
  <c r="AC36" i="9" s="1"/>
  <c r="AX36" i="9"/>
  <c r="BM36" i="9"/>
  <c r="AF36" i="9"/>
  <c r="BH36" i="9"/>
  <c r="V37" i="9"/>
  <c r="AT37" i="9"/>
  <c r="BS37" i="9"/>
  <c r="AA37" i="9"/>
  <c r="W38" i="9"/>
  <c r="AD37" i="9"/>
  <c r="Y37" i="9"/>
  <c r="Z37" i="9"/>
  <c r="AO37" i="9"/>
  <c r="X37" i="9"/>
  <c r="AP37" i="9"/>
  <c r="AQ37" i="9"/>
  <c r="BO37" i="9"/>
  <c r="AF37" i="12"/>
  <c r="AE37" i="12"/>
  <c r="AX37" i="12"/>
  <c r="BM37" i="12"/>
  <c r="AB37" i="12"/>
  <c r="AC37" i="12"/>
  <c r="AS37" i="12"/>
  <c r="BH37" i="12"/>
  <c r="AT38" i="12"/>
  <c r="AD38" i="12"/>
  <c r="BP38" i="12"/>
  <c r="AY38" i="12"/>
  <c r="BL38" i="12" s="1"/>
  <c r="AP38" i="12"/>
  <c r="X38" i="12"/>
  <c r="BT38" i="12" s="1"/>
  <c r="AO38" i="12"/>
  <c r="BO38" i="12"/>
  <c r="V38" i="12"/>
  <c r="AR38" i="12"/>
  <c r="AQ38" i="12"/>
  <c r="BS38" i="12"/>
  <c r="BR38" i="12"/>
  <c r="AA38" i="12"/>
  <c r="Z38" i="12"/>
  <c r="Y38" i="12"/>
  <c r="AW38" i="12"/>
  <c r="BK38" i="12" s="1"/>
  <c r="W39" i="12"/>
  <c r="AB38" i="11"/>
  <c r="BM38" i="11"/>
  <c r="AF38" i="11"/>
  <c r="AE38" i="11"/>
  <c r="AX38" i="11"/>
  <c r="AS38" i="11"/>
  <c r="BO39" i="11"/>
  <c r="AY39" i="11"/>
  <c r="BL39" i="11" s="1"/>
  <c r="AO39" i="11"/>
  <c r="V39" i="11"/>
  <c r="AD39" i="11"/>
  <c r="W40" i="11"/>
  <c r="AW39" i="11"/>
  <c r="BK39" i="11" s="1"/>
  <c r="AA39" i="11"/>
  <c r="AG39" i="11"/>
  <c r="Z39" i="11"/>
  <c r="Y39" i="11"/>
  <c r="AP39" i="11"/>
  <c r="X39" i="11"/>
  <c r="BS39" i="11"/>
  <c r="BR39" i="11"/>
  <c r="BP39" i="11"/>
  <c r="AT39" i="11"/>
  <c r="AR39" i="11"/>
  <c r="AQ39" i="11"/>
  <c r="AI38" i="11"/>
  <c r="AC38" i="11"/>
  <c r="BH38" i="11"/>
  <c r="AX36" i="13"/>
  <c r="BM36" i="13"/>
  <c r="AF36" i="13"/>
  <c r="AE36" i="13"/>
  <c r="AB36" i="13"/>
  <c r="AC36" i="13" s="1"/>
  <c r="AK36" i="13"/>
  <c r="AP37" i="13"/>
  <c r="Z37" i="13"/>
  <c r="BO37" i="13"/>
  <c r="AY37" i="13"/>
  <c r="BL37" i="13" s="1"/>
  <c r="BR37" i="13"/>
  <c r="AG37" i="13"/>
  <c r="BQ37" i="13"/>
  <c r="W38" i="13"/>
  <c r="AD37" i="13"/>
  <c r="BX37" i="13"/>
  <c r="AT37" i="13"/>
  <c r="V37" i="13"/>
  <c r="BP37" i="13"/>
  <c r="AQ37" i="13"/>
  <c r="AO37" i="13"/>
  <c r="AS37" i="13" s="1"/>
  <c r="AV37" i="13"/>
  <c r="BJ37" i="13" s="1"/>
  <c r="AU37" i="13"/>
  <c r="BI37" i="13" s="1"/>
  <c r="AR37" i="13"/>
  <c r="BS37" i="13"/>
  <c r="AA37" i="13"/>
  <c r="AK37" i="13" s="1"/>
  <c r="AW37" i="13"/>
  <c r="BK37" i="13" s="1"/>
  <c r="Y37" i="13"/>
  <c r="X37" i="13"/>
  <c r="BH36" i="13"/>
  <c r="BN36" i="13" s="1"/>
  <c r="BV36" i="13" s="1"/>
  <c r="BY36" i="13" s="1"/>
  <c r="W39" i="17"/>
  <c r="X38" i="17"/>
  <c r="AY38" i="17" s="1"/>
  <c r="W38" i="10"/>
  <c r="X37" i="10"/>
  <c r="CE38" i="9" l="1"/>
  <c r="CA38" i="10"/>
  <c r="AS39" i="11"/>
  <c r="BD39" i="22"/>
  <c r="AM39" i="22"/>
  <c r="AS41" i="22"/>
  <c r="AK41" i="22"/>
  <c r="AJ40" i="22"/>
  <c r="BH41" i="22"/>
  <c r="AX41" i="22"/>
  <c r="BB41" i="22" s="1"/>
  <c r="BC41" i="22" s="1"/>
  <c r="BM41" i="22"/>
  <c r="AF41" i="22"/>
  <c r="AE41" i="22"/>
  <c r="AB41" i="22"/>
  <c r="BT41" i="22"/>
  <c r="AI41" i="22"/>
  <c r="AC41" i="22"/>
  <c r="BU41" i="22"/>
  <c r="BS42" i="22"/>
  <c r="AO42" i="22"/>
  <c r="Y42" i="22"/>
  <c r="BR42" i="22"/>
  <c r="X42" i="22"/>
  <c r="BQ42" i="22"/>
  <c r="BP42" i="22"/>
  <c r="AZ42" i="22"/>
  <c r="V42" i="22"/>
  <c r="BO42" i="22"/>
  <c r="AY42" i="22"/>
  <c r="BL42" i="22" s="1"/>
  <c r="Z42" i="22"/>
  <c r="AT42" i="22"/>
  <c r="AR42" i="22"/>
  <c r="AP42" i="22"/>
  <c r="AA42" i="22"/>
  <c r="W43" i="22"/>
  <c r="AW42" i="22"/>
  <c r="BK42" i="22" s="1"/>
  <c r="BX42" i="22"/>
  <c r="AG42" i="22"/>
  <c r="AD42" i="22"/>
  <c r="AQ42" i="22"/>
  <c r="AU42" i="22"/>
  <c r="BI42" i="22" s="1"/>
  <c r="AV42" i="22"/>
  <c r="BJ42" i="22" s="1"/>
  <c r="BC40" i="22"/>
  <c r="BN40" i="22"/>
  <c r="BV40" i="22" s="1"/>
  <c r="AH38" i="17"/>
  <c r="AB38" i="17"/>
  <c r="AJ38" i="11"/>
  <c r="AI36" i="13"/>
  <c r="AJ36" i="13" s="1"/>
  <c r="W39" i="9"/>
  <c r="AT38" i="9"/>
  <c r="BO38" i="9"/>
  <c r="BS38" i="9"/>
  <c r="AO38" i="9"/>
  <c r="X38" i="9"/>
  <c r="AP38" i="9"/>
  <c r="AQ38" i="9"/>
  <c r="Z38" i="9"/>
  <c r="AD38" i="9"/>
  <c r="AA38" i="9"/>
  <c r="V38" i="9"/>
  <c r="Y38" i="9"/>
  <c r="BH37" i="9"/>
  <c r="AB37" i="9"/>
  <c r="AC37" i="9" s="1"/>
  <c r="AF37" i="9"/>
  <c r="AX37" i="9"/>
  <c r="BM37" i="9"/>
  <c r="BO39" i="12"/>
  <c r="AY39" i="12"/>
  <c r="BL39" i="12" s="1"/>
  <c r="V39" i="12"/>
  <c r="AT39" i="12"/>
  <c r="Y39" i="12"/>
  <c r="W40" i="12"/>
  <c r="AD39" i="12"/>
  <c r="AR39" i="12"/>
  <c r="BS39" i="12"/>
  <c r="AQ39" i="12"/>
  <c r="BR39" i="12"/>
  <c r="AP39" i="12"/>
  <c r="AO39" i="12"/>
  <c r="BP39" i="12"/>
  <c r="AW39" i="12"/>
  <c r="BK39" i="12" s="1"/>
  <c r="AA39" i="12"/>
  <c r="Z39" i="12"/>
  <c r="X39" i="12"/>
  <c r="BT39" i="12" s="1"/>
  <c r="AS38" i="12"/>
  <c r="BM38" i="12"/>
  <c r="AF38" i="12"/>
  <c r="AE38" i="12"/>
  <c r="AB38" i="12"/>
  <c r="AC38" i="12" s="1"/>
  <c r="AX38" i="12"/>
  <c r="BH38" i="12"/>
  <c r="AP40" i="11"/>
  <c r="Z40" i="11"/>
  <c r="AW40" i="11"/>
  <c r="BK40" i="11" s="1"/>
  <c r="BO40" i="11"/>
  <c r="AD40" i="11"/>
  <c r="W41" i="11"/>
  <c r="BR40" i="11"/>
  <c r="AT40" i="11"/>
  <c r="V40" i="11"/>
  <c r="BP40" i="11"/>
  <c r="AR40" i="11"/>
  <c r="BS40" i="11"/>
  <c r="AG40" i="11"/>
  <c r="AA40" i="11"/>
  <c r="Y40" i="11"/>
  <c r="X40" i="11"/>
  <c r="AY40" i="11"/>
  <c r="BL40" i="11" s="1"/>
  <c r="AQ40" i="11"/>
  <c r="AO40" i="11"/>
  <c r="AX39" i="11"/>
  <c r="AF39" i="11"/>
  <c r="AE39" i="11"/>
  <c r="AB39" i="11"/>
  <c r="AC39" i="11" s="1"/>
  <c r="BM39" i="11"/>
  <c r="BH39" i="11"/>
  <c r="BU37" i="13"/>
  <c r="BH37" i="13"/>
  <c r="BN37" i="13" s="1"/>
  <c r="BV37" i="13" s="1"/>
  <c r="BY37" i="13" s="1"/>
  <c r="AX37" i="13"/>
  <c r="AF37" i="13"/>
  <c r="BM37" i="13"/>
  <c r="AB37" i="13"/>
  <c r="AE37" i="13"/>
  <c r="AI37" i="13"/>
  <c r="AC37" i="13"/>
  <c r="AJ37" i="13" s="1"/>
  <c r="AU38" i="13"/>
  <c r="BI38" i="13" s="1"/>
  <c r="AP38" i="13"/>
  <c r="Z38" i="13"/>
  <c r="BP38" i="13"/>
  <c r="BO38" i="13"/>
  <c r="AW38" i="13"/>
  <c r="BK38" i="13" s="1"/>
  <c r="AD38" i="13"/>
  <c r="AR38" i="13"/>
  <c r="AQ38" i="13"/>
  <c r="AO38" i="13"/>
  <c r="BS38" i="13"/>
  <c r="BR38" i="13"/>
  <c r="BQ38" i="13"/>
  <c r="BX38" i="13"/>
  <c r="AA38" i="13"/>
  <c r="AK38" i="13" s="1"/>
  <c r="Y38" i="13"/>
  <c r="X38" i="13"/>
  <c r="V38" i="13"/>
  <c r="AV38" i="13"/>
  <c r="BJ38" i="13" s="1"/>
  <c r="AT38" i="13"/>
  <c r="AG38" i="13"/>
  <c r="AY38" i="13"/>
  <c r="BL38" i="13" s="1"/>
  <c r="W39" i="13"/>
  <c r="W40" i="17"/>
  <c r="X39" i="17"/>
  <c r="AH39" i="17" s="1"/>
  <c r="W39" i="10"/>
  <c r="X38" i="10"/>
  <c r="CE39" i="9" l="1"/>
  <c r="CA39" i="10"/>
  <c r="BD40" i="22"/>
  <c r="BD41" i="22"/>
  <c r="AM40" i="22"/>
  <c r="AJ41" i="22"/>
  <c r="AK42" i="22"/>
  <c r="AS42" i="22"/>
  <c r="BH42" i="22"/>
  <c r="BT42" i="22"/>
  <c r="BM42" i="22"/>
  <c r="AX42" i="22"/>
  <c r="BB42" i="22" s="1"/>
  <c r="AF42" i="22"/>
  <c r="AE42" i="22"/>
  <c r="AB42" i="22"/>
  <c r="AC42" i="22" s="1"/>
  <c r="BN41" i="22"/>
  <c r="BV41" i="22" s="1"/>
  <c r="BU42" i="22"/>
  <c r="AR43" i="22"/>
  <c r="AQ43" i="22"/>
  <c r="AA43" i="22"/>
  <c r="AP43" i="22"/>
  <c r="Z43" i="22"/>
  <c r="BS43" i="22"/>
  <c r="AO43" i="22"/>
  <c r="Y43" i="22"/>
  <c r="AG43" i="22"/>
  <c r="W44" i="22"/>
  <c r="AZ43" i="22"/>
  <c r="BQ43" i="22"/>
  <c r="BO43" i="22"/>
  <c r="X43" i="22"/>
  <c r="V43" i="22"/>
  <c r="AD43" i="22"/>
  <c r="BR43" i="22"/>
  <c r="BP43" i="22"/>
  <c r="AY43" i="22"/>
  <c r="BL43" i="22" s="1"/>
  <c r="AW43" i="22"/>
  <c r="BK43" i="22" s="1"/>
  <c r="AT43" i="22"/>
  <c r="AV43" i="22"/>
  <c r="BJ43" i="22" s="1"/>
  <c r="AU43" i="22"/>
  <c r="BI43" i="22" s="1"/>
  <c r="BX43" i="22"/>
  <c r="AY39" i="17"/>
  <c r="AB39" i="17"/>
  <c r="AI39" i="11"/>
  <c r="AJ39" i="11" s="1"/>
  <c r="BH38" i="9"/>
  <c r="V39" i="9"/>
  <c r="Z39" i="9"/>
  <c r="AA39" i="9"/>
  <c r="W40" i="9"/>
  <c r="BO39" i="9"/>
  <c r="AD39" i="9"/>
  <c r="AO39" i="9"/>
  <c r="AP39" i="9"/>
  <c r="X39" i="9"/>
  <c r="BS39" i="9"/>
  <c r="AQ39" i="9"/>
  <c r="AT39" i="9"/>
  <c r="Y39" i="9"/>
  <c r="AF38" i="9"/>
  <c r="BM38" i="9"/>
  <c r="AB38" i="9"/>
  <c r="AC38" i="9" s="1"/>
  <c r="AX38" i="9"/>
  <c r="AS39" i="12"/>
  <c r="AP40" i="12"/>
  <c r="Z40" i="12"/>
  <c r="BS40" i="12"/>
  <c r="V40" i="12"/>
  <c r="BR40" i="12"/>
  <c r="AD40" i="12"/>
  <c r="AR40" i="12"/>
  <c r="AQ40" i="12"/>
  <c r="AO40" i="12"/>
  <c r="AA40" i="12"/>
  <c r="Y40" i="12"/>
  <c r="AY40" i="12"/>
  <c r="BL40" i="12" s="1"/>
  <c r="X40" i="12"/>
  <c r="BT40" i="12" s="1"/>
  <c r="AW40" i="12"/>
  <c r="BK40" i="12" s="1"/>
  <c r="W41" i="12"/>
  <c r="AT40" i="12"/>
  <c r="BP40" i="12"/>
  <c r="BO40" i="12"/>
  <c r="BH39" i="12"/>
  <c r="AB39" i="12"/>
  <c r="AC39" i="12" s="1"/>
  <c r="AF39" i="12"/>
  <c r="AE39" i="12"/>
  <c r="AX39" i="12"/>
  <c r="BM39" i="12"/>
  <c r="AQ41" i="11"/>
  <c r="Z41" i="11"/>
  <c r="BR41" i="11"/>
  <c r="AT41" i="11"/>
  <c r="BO41" i="11"/>
  <c r="X41" i="11"/>
  <c r="AR41" i="11"/>
  <c r="AW41" i="11"/>
  <c r="BK41" i="11" s="1"/>
  <c r="V41" i="11"/>
  <c r="AY41" i="11"/>
  <c r="BL41" i="11" s="1"/>
  <c r="W42" i="11"/>
  <c r="AP41" i="11"/>
  <c r="AO41" i="11"/>
  <c r="AD41" i="11"/>
  <c r="AA41" i="11"/>
  <c r="Y41" i="11"/>
  <c r="BS41" i="11"/>
  <c r="BP41" i="11"/>
  <c r="AG41" i="11"/>
  <c r="AI40" i="11"/>
  <c r="AC40" i="11"/>
  <c r="AS40" i="11"/>
  <c r="AF40" i="11"/>
  <c r="BM40" i="11"/>
  <c r="AE40" i="11"/>
  <c r="AB40" i="11"/>
  <c r="AX40" i="11"/>
  <c r="BH40" i="11"/>
  <c r="BP39" i="13"/>
  <c r="V39" i="13"/>
  <c r="AU39" i="13"/>
  <c r="BI39" i="13" s="1"/>
  <c r="AV39" i="13"/>
  <c r="BJ39" i="13" s="1"/>
  <c r="AT39" i="13"/>
  <c r="AY39" i="13"/>
  <c r="BL39" i="13" s="1"/>
  <c r="AD39" i="13"/>
  <c r="AG39" i="13"/>
  <c r="BX39" i="13"/>
  <c r="BQ39" i="13"/>
  <c r="AP39" i="13"/>
  <c r="BO39" i="13"/>
  <c r="AO39" i="13"/>
  <c r="W40" i="13"/>
  <c r="AR39" i="13"/>
  <c r="AQ39" i="13"/>
  <c r="BS39" i="13"/>
  <c r="AW39" i="13"/>
  <c r="BK39" i="13" s="1"/>
  <c r="BR39" i="13"/>
  <c r="AA39" i="13"/>
  <c r="Z39" i="13"/>
  <c r="Y39" i="13"/>
  <c r="X39" i="13"/>
  <c r="AS38" i="13"/>
  <c r="AE38" i="13"/>
  <c r="AX38" i="13"/>
  <c r="AF38" i="13"/>
  <c r="BM38" i="13"/>
  <c r="AB38" i="13"/>
  <c r="BH38" i="13"/>
  <c r="AI38" i="13"/>
  <c r="BU38" i="13"/>
  <c r="AC38" i="13"/>
  <c r="X40" i="17"/>
  <c r="AY40" i="17" s="1"/>
  <c r="W41" i="17"/>
  <c r="X39" i="10"/>
  <c r="W40" i="10"/>
  <c r="AS40" i="12" l="1"/>
  <c r="CE40" i="9"/>
  <c r="CA40" i="10"/>
  <c r="AJ40" i="11"/>
  <c r="AM41" i="22"/>
  <c r="AJ38" i="13"/>
  <c r="AI42" i="22"/>
  <c r="AJ42" i="22" s="1"/>
  <c r="BC42" i="22"/>
  <c r="BN42" i="22"/>
  <c r="BV42" i="22" s="1"/>
  <c r="AB43" i="22"/>
  <c r="BT43" i="22"/>
  <c r="BU43" i="22" s="1"/>
  <c r="AE43" i="22"/>
  <c r="AF43" i="22"/>
  <c r="BM43" i="22"/>
  <c r="AX43" i="22"/>
  <c r="BH43" i="22"/>
  <c r="BN43" i="22" s="1"/>
  <c r="AS43" i="22"/>
  <c r="AK43" i="22"/>
  <c r="W45" i="22"/>
  <c r="AW44" i="22"/>
  <c r="BK44" i="22" s="1"/>
  <c r="AG44" i="22"/>
  <c r="AT44" i="22"/>
  <c r="AD44" i="22"/>
  <c r="BX44" i="22"/>
  <c r="AA44" i="22"/>
  <c r="AZ44" i="22"/>
  <c r="Z44" i="22"/>
  <c r="AY44" i="22"/>
  <c r="BL44" i="22" s="1"/>
  <c r="Y44" i="22"/>
  <c r="BR44" i="22"/>
  <c r="AR44" i="22"/>
  <c r="AQ44" i="22"/>
  <c r="AP44" i="22"/>
  <c r="AO44" i="22"/>
  <c r="BS44" i="22"/>
  <c r="V44" i="22"/>
  <c r="BQ44" i="22"/>
  <c r="BP44" i="22"/>
  <c r="BO44" i="22"/>
  <c r="X44" i="22"/>
  <c r="AV44" i="22"/>
  <c r="BJ44" i="22" s="1"/>
  <c r="AU44" i="22"/>
  <c r="BI44" i="22" s="1"/>
  <c r="AC43" i="22"/>
  <c r="BB43" i="22"/>
  <c r="AH40" i="17"/>
  <c r="AB40" i="17"/>
  <c r="Z40" i="9"/>
  <c r="AP40" i="9"/>
  <c r="AA40" i="9"/>
  <c r="AQ40" i="9"/>
  <c r="V40" i="9"/>
  <c r="AO40" i="9"/>
  <c r="W41" i="9"/>
  <c r="AD40" i="9"/>
  <c r="X40" i="9"/>
  <c r="Y40" i="9"/>
  <c r="BO40" i="9"/>
  <c r="AT40" i="9"/>
  <c r="BS40" i="9"/>
  <c r="BH39" i="9"/>
  <c r="AF39" i="9"/>
  <c r="AX39" i="9"/>
  <c r="BM39" i="9"/>
  <c r="AB39" i="9"/>
  <c r="AC39" i="9" s="1"/>
  <c r="AW41" i="12"/>
  <c r="BK41" i="12" s="1"/>
  <c r="BR41" i="12"/>
  <c r="AY41" i="12"/>
  <c r="BL41" i="12" s="1"/>
  <c r="W42" i="12"/>
  <c r="AD41" i="12"/>
  <c r="AA41" i="12"/>
  <c r="Z41" i="12"/>
  <c r="Y41" i="12"/>
  <c r="X41" i="12"/>
  <c r="BT41" i="12" s="1"/>
  <c r="V41" i="12"/>
  <c r="AT41" i="12"/>
  <c r="AR41" i="12"/>
  <c r="AQ41" i="12"/>
  <c r="AP41" i="12"/>
  <c r="BS41" i="12"/>
  <c r="BP41" i="12"/>
  <c r="BO41" i="12"/>
  <c r="AO41" i="12"/>
  <c r="AX40" i="12"/>
  <c r="BM40" i="12"/>
  <c r="AF40" i="12"/>
  <c r="AE40" i="12"/>
  <c r="AB40" i="12"/>
  <c r="AC40" i="12"/>
  <c r="BH40" i="12"/>
  <c r="AE41" i="11"/>
  <c r="BM41" i="11"/>
  <c r="AB41" i="11"/>
  <c r="AX41" i="11"/>
  <c r="AF41" i="11"/>
  <c r="BH41" i="11"/>
  <c r="AS41" i="11"/>
  <c r="AC41" i="11"/>
  <c r="BP42" i="11"/>
  <c r="V42" i="11"/>
  <c r="BR42" i="11"/>
  <c r="BO42" i="11"/>
  <c r="AW42" i="11"/>
  <c r="BK42" i="11" s="1"/>
  <c r="W43" i="11"/>
  <c r="AR42" i="11"/>
  <c r="Z42" i="11"/>
  <c r="AY42" i="11"/>
  <c r="BL42" i="11" s="1"/>
  <c r="AD42" i="11"/>
  <c r="AO42" i="11"/>
  <c r="AA42" i="11"/>
  <c r="Y42" i="11"/>
  <c r="X42" i="11"/>
  <c r="AG42" i="11"/>
  <c r="BS42" i="11"/>
  <c r="AT42" i="11"/>
  <c r="AQ42" i="11"/>
  <c r="AP42" i="11"/>
  <c r="AK39" i="13"/>
  <c r="BN38" i="13"/>
  <c r="BV38" i="13" s="1"/>
  <c r="BY38" i="13" s="1"/>
  <c r="BH39" i="13"/>
  <c r="BN39" i="13" s="1"/>
  <c r="AE39" i="13"/>
  <c r="BM39" i="13"/>
  <c r="AB39" i="13"/>
  <c r="AF39" i="13"/>
  <c r="AI39" i="13" s="1"/>
  <c r="AX39" i="13"/>
  <c r="AS39" i="13"/>
  <c r="AC39" i="13"/>
  <c r="AQ40" i="13"/>
  <c r="AA40" i="13"/>
  <c r="BP40" i="13"/>
  <c r="V40" i="13"/>
  <c r="AT40" i="13"/>
  <c r="Z40" i="13"/>
  <c r="BO40" i="13"/>
  <c r="AR40" i="13"/>
  <c r="AP40" i="13"/>
  <c r="AY40" i="13"/>
  <c r="BL40" i="13" s="1"/>
  <c r="W41" i="13"/>
  <c r="AW40" i="13"/>
  <c r="BK40" i="13" s="1"/>
  <c r="BX40" i="13"/>
  <c r="AV40" i="13"/>
  <c r="BJ40" i="13" s="1"/>
  <c r="AU40" i="13"/>
  <c r="BI40" i="13" s="1"/>
  <c r="AO40" i="13"/>
  <c r="AG40" i="13"/>
  <c r="BS40" i="13"/>
  <c r="AD40" i="13"/>
  <c r="BR40" i="13"/>
  <c r="Y40" i="13"/>
  <c r="X40" i="13"/>
  <c r="BQ40" i="13"/>
  <c r="BU39" i="13"/>
  <c r="X41" i="17"/>
  <c r="AY41" i="17" s="1"/>
  <c r="W42" i="17"/>
  <c r="X40" i="10"/>
  <c r="W41" i="10"/>
  <c r="CE41" i="9" l="1"/>
  <c r="CA41" i="10"/>
  <c r="AS42" i="11"/>
  <c r="BD42" i="22"/>
  <c r="AM42" i="22"/>
  <c r="AS41" i="12"/>
  <c r="AK44" i="22"/>
  <c r="BC43" i="22"/>
  <c r="BV43" i="22"/>
  <c r="BR45" i="22"/>
  <c r="X45" i="22"/>
  <c r="BP45" i="22"/>
  <c r="AZ45" i="22"/>
  <c r="V45" i="22"/>
  <c r="W46" i="22"/>
  <c r="BO45" i="22"/>
  <c r="AY45" i="22"/>
  <c r="BL45" i="22" s="1"/>
  <c r="BS45" i="22"/>
  <c r="AR45" i="22"/>
  <c r="AQ45" i="22"/>
  <c r="AP45" i="22"/>
  <c r="AG45" i="22"/>
  <c r="AD45" i="22"/>
  <c r="AA45" i="22"/>
  <c r="Z45" i="22"/>
  <c r="Y45" i="22"/>
  <c r="BX45" i="22"/>
  <c r="AW45" i="22"/>
  <c r="BK45" i="22" s="1"/>
  <c r="AT45" i="22"/>
  <c r="AO45" i="22"/>
  <c r="AU45" i="22"/>
  <c r="BI45" i="22" s="1"/>
  <c r="BQ45" i="22"/>
  <c r="AV45" i="22"/>
  <c r="BJ45" i="22" s="1"/>
  <c r="BH44" i="22"/>
  <c r="AI43" i="22"/>
  <c r="AJ43" i="22" s="1"/>
  <c r="AX44" i="22"/>
  <c r="BB44" i="22" s="1"/>
  <c r="BM44" i="22"/>
  <c r="AF44" i="22"/>
  <c r="AE44" i="22"/>
  <c r="AB44" i="22"/>
  <c r="AC44" i="22" s="1"/>
  <c r="BT44" i="22"/>
  <c r="BU44" i="22" s="1"/>
  <c r="AS44" i="22"/>
  <c r="AH41" i="17"/>
  <c r="AB41" i="17"/>
  <c r="BX41" i="17"/>
  <c r="AI41" i="11"/>
  <c r="AJ41" i="11" s="1"/>
  <c r="BH40" i="9"/>
  <c r="AW41" i="9"/>
  <c r="BK41" i="9" s="1"/>
  <c r="W42" i="9"/>
  <c r="X41" i="9"/>
  <c r="AO41" i="9"/>
  <c r="Y41" i="9"/>
  <c r="BO41" i="9"/>
  <c r="Z41" i="9"/>
  <c r="AT41" i="9"/>
  <c r="BP41" i="9"/>
  <c r="BS41" i="9"/>
  <c r="AP41" i="9"/>
  <c r="AQ41" i="9"/>
  <c r="AD41" i="9"/>
  <c r="AA41" i="9"/>
  <c r="V41" i="9"/>
  <c r="BM40" i="9"/>
  <c r="AX40" i="9"/>
  <c r="AF40" i="9"/>
  <c r="AB40" i="9"/>
  <c r="AC40" i="9" s="1"/>
  <c r="BP42" i="12"/>
  <c r="V42" i="12"/>
  <c r="AQ42" i="12"/>
  <c r="Z42" i="12"/>
  <c r="BO42" i="12"/>
  <c r="AW42" i="12"/>
  <c r="BK42" i="12" s="1"/>
  <c r="AD42" i="12"/>
  <c r="AR42" i="12"/>
  <c r="AP42" i="12"/>
  <c r="AO42" i="12"/>
  <c r="BS42" i="12"/>
  <c r="BR42" i="12"/>
  <c r="AA42" i="12"/>
  <c r="AY42" i="12"/>
  <c r="BL42" i="12" s="1"/>
  <c r="X42" i="12"/>
  <c r="BT42" i="12" s="1"/>
  <c r="W43" i="12"/>
  <c r="AT42" i="12"/>
  <c r="Y42" i="12"/>
  <c r="BH41" i="12"/>
  <c r="AE41" i="12"/>
  <c r="AF41" i="12"/>
  <c r="AB41" i="12"/>
  <c r="AC41" i="12" s="1"/>
  <c r="AX41" i="12"/>
  <c r="BM41" i="12"/>
  <c r="BH42" i="11"/>
  <c r="AQ43" i="11"/>
  <c r="AA43" i="11"/>
  <c r="AD43" i="11"/>
  <c r="AO43" i="11"/>
  <c r="W44" i="11"/>
  <c r="BS43" i="11"/>
  <c r="AW43" i="11"/>
  <c r="BK43" i="11" s="1"/>
  <c r="X43" i="11"/>
  <c r="BR43" i="11"/>
  <c r="AT43" i="11"/>
  <c r="V43" i="11"/>
  <c r="BP43" i="11"/>
  <c r="BO43" i="11"/>
  <c r="AG43" i="11"/>
  <c r="AR43" i="11"/>
  <c r="AP43" i="11"/>
  <c r="Z43" i="11"/>
  <c r="Y43" i="11"/>
  <c r="AY43" i="11"/>
  <c r="BL43" i="11" s="1"/>
  <c r="AE42" i="11"/>
  <c r="AX42" i="11"/>
  <c r="AF42" i="11"/>
  <c r="AI42" i="11" s="1"/>
  <c r="AB42" i="11"/>
  <c r="BM42" i="11"/>
  <c r="AC42" i="11"/>
  <c r="W42" i="13"/>
  <c r="AV41" i="13"/>
  <c r="BJ41" i="13" s="1"/>
  <c r="AQ41" i="13"/>
  <c r="AA41" i="13"/>
  <c r="AR41" i="13"/>
  <c r="Y41" i="13"/>
  <c r="AP41" i="13"/>
  <c r="X41" i="13"/>
  <c r="V41" i="13"/>
  <c r="AG41" i="13"/>
  <c r="BX41" i="13"/>
  <c r="Z41" i="13"/>
  <c r="AY41" i="13"/>
  <c r="BL41" i="13" s="1"/>
  <c r="BS41" i="13"/>
  <c r="AD41" i="13"/>
  <c r="BR41" i="13"/>
  <c r="BQ41" i="13"/>
  <c r="BP41" i="13"/>
  <c r="BO41" i="13"/>
  <c r="BU41" i="13" s="1"/>
  <c r="AW41" i="13"/>
  <c r="BK41" i="13" s="1"/>
  <c r="AU41" i="13"/>
  <c r="BI41" i="13" s="1"/>
  <c r="AT41" i="13"/>
  <c r="AO41" i="13"/>
  <c r="AC40" i="13"/>
  <c r="BU40" i="13"/>
  <c r="AB40" i="13"/>
  <c r="BM40" i="13"/>
  <c r="AX40" i="13"/>
  <c r="AF40" i="13"/>
  <c r="AE40" i="13"/>
  <c r="AJ39" i="13"/>
  <c r="BH40" i="13"/>
  <c r="BN40" i="13" s="1"/>
  <c r="BV39" i="13"/>
  <c r="BY39" i="13" s="1"/>
  <c r="AS40" i="13"/>
  <c r="AK40" i="13"/>
  <c r="W43" i="17"/>
  <c r="X42" i="17"/>
  <c r="AH42" i="17" s="1"/>
  <c r="W42" i="10"/>
  <c r="X41" i="10"/>
  <c r="BT41" i="10" s="1"/>
  <c r="AS41" i="13" l="1"/>
  <c r="CE42" i="9"/>
  <c r="CA42" i="10"/>
  <c r="BD43" i="22"/>
  <c r="AM43" i="22"/>
  <c r="AI44" i="22"/>
  <c r="AJ44" i="22" s="1"/>
  <c r="BC44" i="22"/>
  <c r="AP46" i="22"/>
  <c r="Z46" i="22"/>
  <c r="BS46" i="22"/>
  <c r="AO46" i="22"/>
  <c r="Y46" i="22"/>
  <c r="BR46" i="22"/>
  <c r="X46" i="22"/>
  <c r="BQ46" i="22"/>
  <c r="BP46" i="22"/>
  <c r="AZ46" i="22"/>
  <c r="V46" i="22"/>
  <c r="AY46" i="22"/>
  <c r="BL46" i="22" s="1"/>
  <c r="AD46" i="22"/>
  <c r="BX46" i="22"/>
  <c r="AW46" i="22"/>
  <c r="BK46" i="22" s="1"/>
  <c r="AA46" i="22"/>
  <c r="AT46" i="22"/>
  <c r="W47" i="22"/>
  <c r="AR46" i="22"/>
  <c r="AQ46" i="22"/>
  <c r="BO46" i="22"/>
  <c r="AG46" i="22"/>
  <c r="AV46" i="22"/>
  <c r="BJ46" i="22" s="1"/>
  <c r="AU46" i="22"/>
  <c r="BI46" i="22" s="1"/>
  <c r="AX45" i="22"/>
  <c r="BM45" i="22"/>
  <c r="AB45" i="22"/>
  <c r="AF45" i="22"/>
  <c r="AE45" i="22"/>
  <c r="BT45" i="22"/>
  <c r="BU45" i="22" s="1"/>
  <c r="AK45" i="22"/>
  <c r="AC45" i="22"/>
  <c r="BN44" i="22"/>
  <c r="BV44" i="22" s="1"/>
  <c r="AS45" i="22"/>
  <c r="BH45" i="22"/>
  <c r="AY42" i="17"/>
  <c r="AB42" i="17"/>
  <c r="BX42" i="17"/>
  <c r="AI40" i="13"/>
  <c r="AJ40" i="13" s="1"/>
  <c r="AF41" i="9"/>
  <c r="BM41" i="9"/>
  <c r="AX41" i="9"/>
  <c r="AE41" i="9"/>
  <c r="AB41" i="9"/>
  <c r="AC41" i="9" s="1"/>
  <c r="V42" i="9"/>
  <c r="BP42" i="9"/>
  <c r="AA42" i="9"/>
  <c r="AQ42" i="9"/>
  <c r="X42" i="9"/>
  <c r="Y42" i="9"/>
  <c r="AD42" i="9"/>
  <c r="AW42" i="9"/>
  <c r="BK42" i="9" s="1"/>
  <c r="BS42" i="9"/>
  <c r="AO42" i="9"/>
  <c r="BO42" i="9"/>
  <c r="AP42" i="9"/>
  <c r="AT42" i="9"/>
  <c r="W43" i="9"/>
  <c r="Z42" i="9"/>
  <c r="BH41" i="9"/>
  <c r="BH42" i="12"/>
  <c r="AQ43" i="12"/>
  <c r="AA43" i="12"/>
  <c r="AT43" i="12"/>
  <c r="BS43" i="12"/>
  <c r="AD43" i="12"/>
  <c r="AY43" i="12"/>
  <c r="BL43" i="12" s="1"/>
  <c r="Z43" i="12"/>
  <c r="W44" i="12"/>
  <c r="AR43" i="12"/>
  <c r="AP43" i="12"/>
  <c r="BR43" i="12"/>
  <c r="AO43" i="12"/>
  <c r="AS43" i="12" s="1"/>
  <c r="BP43" i="12"/>
  <c r="BO43" i="12"/>
  <c r="X43" i="12"/>
  <c r="BT43" i="12" s="1"/>
  <c r="V43" i="12"/>
  <c r="AW43" i="12"/>
  <c r="BK43" i="12" s="1"/>
  <c r="Y43" i="12"/>
  <c r="AE42" i="12"/>
  <c r="BM42" i="12"/>
  <c r="AF42" i="12"/>
  <c r="AB42" i="12"/>
  <c r="AC42" i="12" s="1"/>
  <c r="AX42" i="12"/>
  <c r="AS42" i="12"/>
  <c r="W45" i="11"/>
  <c r="AO44" i="11"/>
  <c r="X44" i="11"/>
  <c r="AA44" i="11"/>
  <c r="AR44" i="11"/>
  <c r="AQ44" i="11"/>
  <c r="V44" i="11"/>
  <c r="Z44" i="11"/>
  <c r="BO44" i="11"/>
  <c r="AY44" i="11"/>
  <c r="BL44" i="11" s="1"/>
  <c r="AW44" i="11"/>
  <c r="BK44" i="11" s="1"/>
  <c r="AT44" i="11"/>
  <c r="AP44" i="11"/>
  <c r="AG44" i="11"/>
  <c r="AD44" i="11"/>
  <c r="BS44" i="11"/>
  <c r="Y44" i="11"/>
  <c r="BR44" i="11"/>
  <c r="BP44" i="11"/>
  <c r="AS43" i="11"/>
  <c r="BH43" i="11"/>
  <c r="AJ42" i="11"/>
  <c r="AF43" i="11"/>
  <c r="BM43" i="11"/>
  <c r="AE43" i="11"/>
  <c r="AB43" i="11"/>
  <c r="AX43" i="11"/>
  <c r="AC43" i="11"/>
  <c r="BH41" i="13"/>
  <c r="BV40" i="13"/>
  <c r="BY40" i="13" s="1"/>
  <c r="AF41" i="13"/>
  <c r="AE41" i="13"/>
  <c r="AX41" i="13"/>
  <c r="AB41" i="13"/>
  <c r="AC41" i="13" s="1"/>
  <c r="BM41" i="13"/>
  <c r="AK41" i="13"/>
  <c r="BQ42" i="13"/>
  <c r="W43" i="13"/>
  <c r="AV42" i="13"/>
  <c r="BJ42" i="13" s="1"/>
  <c r="AP42" i="13"/>
  <c r="X42" i="13"/>
  <c r="BX42" i="13"/>
  <c r="AO42" i="13"/>
  <c r="V42" i="13"/>
  <c r="BS42" i="13"/>
  <c r="BO42" i="13"/>
  <c r="AR42" i="13"/>
  <c r="AD42" i="13"/>
  <c r="AG42" i="13"/>
  <c r="AA42" i="13"/>
  <c r="Z42" i="13"/>
  <c r="BP42" i="13"/>
  <c r="AY42" i="13"/>
  <c r="BL42" i="13" s="1"/>
  <c r="AW42" i="13"/>
  <c r="BK42" i="13" s="1"/>
  <c r="AT42" i="13"/>
  <c r="AQ42" i="13"/>
  <c r="AU42" i="13"/>
  <c r="BI42" i="13" s="1"/>
  <c r="Y42" i="13"/>
  <c r="BR42" i="13"/>
  <c r="W44" i="17"/>
  <c r="X43" i="17"/>
  <c r="AH43" i="17" s="1"/>
  <c r="W43" i="10"/>
  <c r="X42" i="10"/>
  <c r="BT42" i="10" s="1"/>
  <c r="CE43" i="9" l="1"/>
  <c r="CA43" i="10"/>
  <c r="BD44" i="22"/>
  <c r="AM44" i="22"/>
  <c r="BN45" i="22"/>
  <c r="BV45" i="22" s="1"/>
  <c r="BB45" i="22"/>
  <c r="BC45" i="22" s="1"/>
  <c r="AI45" i="22"/>
  <c r="BT46" i="22"/>
  <c r="BU46" i="22" s="1"/>
  <c r="AF46" i="22"/>
  <c r="AE46" i="22"/>
  <c r="AX46" i="22"/>
  <c r="BB46" i="22" s="1"/>
  <c r="AB46" i="22"/>
  <c r="BM46" i="22"/>
  <c r="AC46" i="22"/>
  <c r="BH46" i="22"/>
  <c r="BN46" i="22" s="1"/>
  <c r="AS46" i="22"/>
  <c r="AR47" i="22"/>
  <c r="AR49" i="22" s="1"/>
  <c r="Z44" i="20" s="1"/>
  <c r="AQ47" i="22"/>
  <c r="AA47" i="22"/>
  <c r="AP47" i="22"/>
  <c r="AP49" i="22" s="1"/>
  <c r="Z47" i="22"/>
  <c r="Z49" i="22" s="1"/>
  <c r="BS47" i="22"/>
  <c r="BS49" i="22" s="1"/>
  <c r="AO47" i="22"/>
  <c r="Y47" i="22"/>
  <c r="BQ47" i="22"/>
  <c r="BQ49" i="22" s="1"/>
  <c r="V47" i="22"/>
  <c r="AC12" i="22" s="1"/>
  <c r="Z55" i="20" s="1"/>
  <c r="BP47" i="22"/>
  <c r="BP49" i="22" s="1"/>
  <c r="BO47" i="22"/>
  <c r="AT47" i="22"/>
  <c r="BR47" i="22"/>
  <c r="BR49" i="22" s="1"/>
  <c r="AD47" i="22"/>
  <c r="AZ47" i="22"/>
  <c r="AZ49" i="22" s="1"/>
  <c r="X47" i="22"/>
  <c r="AG47" i="22"/>
  <c r="AG49" i="22" s="1"/>
  <c r="AW47" i="22"/>
  <c r="AY47" i="22"/>
  <c r="AV47" i="22"/>
  <c r="BX47" i="22"/>
  <c r="AU47" i="22"/>
  <c r="AK46" i="22"/>
  <c r="AJ45" i="22"/>
  <c r="AY43" i="17"/>
  <c r="AB43" i="17"/>
  <c r="BX43" i="17"/>
  <c r="AI43" i="11"/>
  <c r="AJ43" i="11" s="1"/>
  <c r="BH42" i="9"/>
  <c r="Z43" i="9"/>
  <c r="AP43" i="9"/>
  <c r="AA43" i="9"/>
  <c r="AQ43" i="9"/>
  <c r="X43" i="9"/>
  <c r="Y43" i="9"/>
  <c r="AT43" i="9"/>
  <c r="BS43" i="9"/>
  <c r="BO43" i="9"/>
  <c r="AO43" i="9"/>
  <c r="BP43" i="9"/>
  <c r="V43" i="9"/>
  <c r="AW43" i="9"/>
  <c r="BK43" i="9" s="1"/>
  <c r="AD43" i="9"/>
  <c r="W44" i="9"/>
  <c r="AE42" i="9"/>
  <c r="AX42" i="9"/>
  <c r="AB42" i="9"/>
  <c r="AC42" i="9" s="1"/>
  <c r="AF42" i="9"/>
  <c r="BM42" i="9"/>
  <c r="BH43" i="12"/>
  <c r="W45" i="12"/>
  <c r="AT44" i="12"/>
  <c r="AR44" i="12"/>
  <c r="Z44" i="12"/>
  <c r="AQ44" i="12"/>
  <c r="Y44" i="12"/>
  <c r="BP44" i="12"/>
  <c r="V44" i="12"/>
  <c r="BO44" i="12"/>
  <c r="AP44" i="12"/>
  <c r="AO44" i="12"/>
  <c r="AY44" i="12"/>
  <c r="BL44" i="12" s="1"/>
  <c r="AW44" i="12"/>
  <c r="BK44" i="12" s="1"/>
  <c r="BS44" i="12"/>
  <c r="X44" i="12"/>
  <c r="BT44" i="12" s="1"/>
  <c r="BR44" i="12"/>
  <c r="AD44" i="12"/>
  <c r="AA44" i="12"/>
  <c r="BM43" i="12"/>
  <c r="AB43" i="12"/>
  <c r="AC43" i="12" s="1"/>
  <c r="AX43" i="12"/>
  <c r="AF43" i="12"/>
  <c r="AE43" i="12"/>
  <c r="AF44" i="11"/>
  <c r="BM44" i="11"/>
  <c r="AX44" i="11"/>
  <c r="AE44" i="11"/>
  <c r="AI44" i="11" s="1"/>
  <c r="AB44" i="11"/>
  <c r="AC44" i="11" s="1"/>
  <c r="BH44" i="11"/>
  <c r="AS44" i="11"/>
  <c r="BO45" i="11"/>
  <c r="AG45" i="11"/>
  <c r="AQ45" i="11"/>
  <c r="Y45" i="11"/>
  <c r="BS45" i="11"/>
  <c r="AW45" i="11"/>
  <c r="BK45" i="11" s="1"/>
  <c r="BR45" i="11"/>
  <c r="AP45" i="11"/>
  <c r="W46" i="11"/>
  <c r="AD45" i="11"/>
  <c r="AA45" i="11"/>
  <c r="Z45" i="11"/>
  <c r="X45" i="11"/>
  <c r="V45" i="11"/>
  <c r="AY45" i="11"/>
  <c r="BL45" i="11" s="1"/>
  <c r="AR45" i="11"/>
  <c r="AO45" i="11"/>
  <c r="BP45" i="11"/>
  <c r="AT45" i="11"/>
  <c r="AI41" i="13"/>
  <c r="AJ41" i="13" s="1"/>
  <c r="BU42" i="13"/>
  <c r="AS42" i="13"/>
  <c r="BH42" i="13"/>
  <c r="AF42" i="13"/>
  <c r="AX42" i="13"/>
  <c r="AE42" i="13"/>
  <c r="AB42" i="13"/>
  <c r="AC42" i="13" s="1"/>
  <c r="BM42" i="13"/>
  <c r="BN41" i="13"/>
  <c r="BV41" i="13" s="1"/>
  <c r="BY41" i="13" s="1"/>
  <c r="AR43" i="13"/>
  <c r="BQ43" i="13"/>
  <c r="BX43" i="13"/>
  <c r="W44" i="13"/>
  <c r="AY43" i="13"/>
  <c r="BL43" i="13" s="1"/>
  <c r="AA43" i="13"/>
  <c r="AK43" i="13" s="1"/>
  <c r="Z43" i="13"/>
  <c r="AW43" i="13"/>
  <c r="BK43" i="13" s="1"/>
  <c r="Y43" i="13"/>
  <c r="BR43" i="13"/>
  <c r="AP43" i="13"/>
  <c r="BP43" i="13"/>
  <c r="AO43" i="13"/>
  <c r="BO43" i="13"/>
  <c r="AG43" i="13"/>
  <c r="AV43" i="13"/>
  <c r="BJ43" i="13" s="1"/>
  <c r="AU43" i="13"/>
  <c r="BI43" i="13" s="1"/>
  <c r="AT43" i="13"/>
  <c r="AD43" i="13"/>
  <c r="AQ43" i="13"/>
  <c r="X43" i="13"/>
  <c r="BS43" i="13"/>
  <c r="V43" i="13"/>
  <c r="AK42" i="13"/>
  <c r="W45" i="17"/>
  <c r="X44" i="17"/>
  <c r="AY44" i="17" s="1"/>
  <c r="W44" i="10"/>
  <c r="X43" i="10"/>
  <c r="BT43" i="10" s="1"/>
  <c r="CE44" i="9" l="1"/>
  <c r="CA44" i="10"/>
  <c r="BD45" i="22"/>
  <c r="AM45" i="22"/>
  <c r="AI46" i="22"/>
  <c r="AJ46" i="22" s="1"/>
  <c r="BC46" i="22"/>
  <c r="BV46" i="22"/>
  <c r="AB47" i="22"/>
  <c r="AB49" i="22" s="1"/>
  <c r="BT47" i="22"/>
  <c r="BT49" i="22" s="1"/>
  <c r="BM47" i="22"/>
  <c r="BM49" i="22" s="1"/>
  <c r="AE47" i="22"/>
  <c r="AE49" i="22" s="1"/>
  <c r="AX47" i="22"/>
  <c r="AX49" i="22" s="1"/>
  <c r="AF47" i="22"/>
  <c r="AF49" i="22" s="1"/>
  <c r="AA49" i="22"/>
  <c r="AD49" i="22"/>
  <c r="BJ47" i="22"/>
  <c r="BJ49" i="22" s="1"/>
  <c r="AV49" i="22"/>
  <c r="BK47" i="22"/>
  <c r="BK49" i="22" s="1"/>
  <c r="AW49" i="22"/>
  <c r="BH47" i="22"/>
  <c r="AT49" i="22"/>
  <c r="BO49" i="22"/>
  <c r="BA49" i="22"/>
  <c r="AQ49" i="22"/>
  <c r="BI47" i="22"/>
  <c r="BI49" i="22" s="1"/>
  <c r="AU49" i="22"/>
  <c r="Y49" i="22"/>
  <c r="BL47" i="22"/>
  <c r="BL49" i="22" s="1"/>
  <c r="AY49" i="22"/>
  <c r="AS47" i="22"/>
  <c r="AO49" i="22"/>
  <c r="AH44" i="17"/>
  <c r="AB44" i="17"/>
  <c r="BX44" i="17"/>
  <c r="AJ44" i="11"/>
  <c r="AI42" i="13"/>
  <c r="AJ42" i="13" s="1"/>
  <c r="BH43" i="9"/>
  <c r="AE43" i="9"/>
  <c r="BM43" i="9"/>
  <c r="AF43" i="9"/>
  <c r="AB43" i="9"/>
  <c r="AC43" i="9" s="1"/>
  <c r="AX43" i="9"/>
  <c r="AD44" i="9"/>
  <c r="Z44" i="9"/>
  <c r="AA44" i="9"/>
  <c r="AW44" i="9"/>
  <c r="BK44" i="9" s="1"/>
  <c r="W45" i="9"/>
  <c r="AP44" i="9"/>
  <c r="AQ44" i="9"/>
  <c r="AO44" i="9"/>
  <c r="AT44" i="9"/>
  <c r="X44" i="9"/>
  <c r="V44" i="9"/>
  <c r="Y44" i="9"/>
  <c r="BO44" i="9"/>
  <c r="BP44" i="9"/>
  <c r="BS44" i="9"/>
  <c r="BH44" i="12"/>
  <c r="AO45" i="12"/>
  <c r="X45" i="12"/>
  <c r="BT45" i="12" s="1"/>
  <c r="AQ45" i="12"/>
  <c r="Y45" i="12"/>
  <c r="AP45" i="12"/>
  <c r="V45" i="12"/>
  <c r="AR45" i="12"/>
  <c r="W46" i="12"/>
  <c r="AY45" i="12"/>
  <c r="BL45" i="12" s="1"/>
  <c r="AD45" i="12"/>
  <c r="AA45" i="12"/>
  <c r="Z45" i="12"/>
  <c r="AW45" i="12"/>
  <c r="BK45" i="12" s="1"/>
  <c r="AT45" i="12"/>
  <c r="BS45" i="12"/>
  <c r="BR45" i="12"/>
  <c r="BP45" i="12"/>
  <c r="BO45" i="12"/>
  <c r="AS44" i="12"/>
  <c r="AF44" i="12"/>
  <c r="BM44" i="12"/>
  <c r="AX44" i="12"/>
  <c r="AE44" i="12"/>
  <c r="AB44" i="12"/>
  <c r="AC44" i="12" s="1"/>
  <c r="BH45" i="11"/>
  <c r="AS45" i="11"/>
  <c r="AX45" i="11"/>
  <c r="AB45" i="11"/>
  <c r="BM45" i="11"/>
  <c r="AF45" i="11"/>
  <c r="AE45" i="11"/>
  <c r="AR46" i="11"/>
  <c r="AA46" i="11"/>
  <c r="V46" i="11"/>
  <c r="AY46" i="11"/>
  <c r="BL46" i="11" s="1"/>
  <c r="AG46" i="11"/>
  <c r="W47" i="11"/>
  <c r="AW46" i="11"/>
  <c r="BK46" i="11" s="1"/>
  <c r="Y46" i="11"/>
  <c r="BS46" i="11"/>
  <c r="X46" i="11"/>
  <c r="BR46" i="11"/>
  <c r="AP46" i="11"/>
  <c r="AO46" i="11"/>
  <c r="BP46" i="11"/>
  <c r="BO46" i="11"/>
  <c r="AD46" i="11"/>
  <c r="AT46" i="11"/>
  <c r="AQ46" i="11"/>
  <c r="Z46" i="11"/>
  <c r="AC45" i="11"/>
  <c r="AI45" i="11"/>
  <c r="BN42" i="13"/>
  <c r="BV42" i="13" s="1"/>
  <c r="BY42" i="13" s="1"/>
  <c r="BH43" i="13"/>
  <c r="AB43" i="13"/>
  <c r="AC43" i="13" s="1"/>
  <c r="AF43" i="13"/>
  <c r="AE43" i="13"/>
  <c r="AI43" i="13" s="1"/>
  <c r="AX43" i="13"/>
  <c r="BM43" i="13"/>
  <c r="AW44" i="13"/>
  <c r="BK44" i="13" s="1"/>
  <c r="AG44" i="13"/>
  <c r="AR44" i="13"/>
  <c r="BS44" i="13"/>
  <c r="AQ44" i="13"/>
  <c r="BP44" i="13"/>
  <c r="AT44" i="13"/>
  <c r="X44" i="13"/>
  <c r="BO44" i="13"/>
  <c r="V44" i="13"/>
  <c r="AY44" i="13"/>
  <c r="BL44" i="13" s="1"/>
  <c r="Z44" i="13"/>
  <c r="Y44" i="13"/>
  <c r="BX44" i="13"/>
  <c r="AV44" i="13"/>
  <c r="BJ44" i="13" s="1"/>
  <c r="AU44" i="13"/>
  <c r="BI44" i="13" s="1"/>
  <c r="AP44" i="13"/>
  <c r="W45" i="13"/>
  <c r="AO44" i="13"/>
  <c r="BQ44" i="13"/>
  <c r="AA44" i="13"/>
  <c r="BR44" i="13"/>
  <c r="AD44" i="13"/>
  <c r="BU43" i="13"/>
  <c r="AS43" i="13"/>
  <c r="W46" i="17"/>
  <c r="X45" i="17"/>
  <c r="AY45" i="17" s="1"/>
  <c r="W45" i="10"/>
  <c r="X44" i="10"/>
  <c r="BT44" i="10" s="1"/>
  <c r="AS46" i="11" l="1"/>
  <c r="CE45" i="9"/>
  <c r="CA45" i="10"/>
  <c r="BD46" i="22"/>
  <c r="AM46" i="22"/>
  <c r="BU47" i="22"/>
  <c r="BU49" i="22" s="1"/>
  <c r="AC47" i="22"/>
  <c r="AC49" i="22" s="1"/>
  <c r="AI47" i="22"/>
  <c r="AI49" i="22" s="1"/>
  <c r="AK47" i="22"/>
  <c r="AH49" i="22"/>
  <c r="BB47" i="22"/>
  <c r="BB49" i="22" s="1"/>
  <c r="AS49" i="22"/>
  <c r="BN47" i="22"/>
  <c r="BH49" i="22"/>
  <c r="AH45" i="17"/>
  <c r="BX45" i="17"/>
  <c r="AB45" i="17"/>
  <c r="BH44" i="9"/>
  <c r="AE44" i="9"/>
  <c r="BM44" i="9"/>
  <c r="AX44" i="9"/>
  <c r="AB44" i="9"/>
  <c r="AF44" i="9"/>
  <c r="AC44" i="9"/>
  <c r="AW45" i="9"/>
  <c r="BK45" i="9" s="1"/>
  <c r="W46" i="9"/>
  <c r="X45" i="9"/>
  <c r="AQ45" i="9"/>
  <c r="BP45" i="9"/>
  <c r="V45" i="9"/>
  <c r="Y45" i="9"/>
  <c r="BO45" i="9"/>
  <c r="Z45" i="9"/>
  <c r="AT45" i="9"/>
  <c r="AA45" i="9"/>
  <c r="AP45" i="9"/>
  <c r="AD45" i="9"/>
  <c r="BS45" i="9"/>
  <c r="AO45" i="9"/>
  <c r="AR46" i="12"/>
  <c r="BO46" i="12"/>
  <c r="V46" i="12"/>
  <c r="AA46" i="12"/>
  <c r="AQ46" i="12"/>
  <c r="AP46" i="12"/>
  <c r="AO46" i="12"/>
  <c r="BS46" i="12"/>
  <c r="BR46" i="12"/>
  <c r="BP46" i="12"/>
  <c r="AD46" i="12"/>
  <c r="Z46" i="12"/>
  <c r="Y46" i="12"/>
  <c r="X46" i="12"/>
  <c r="BT46" i="12" s="1"/>
  <c r="W47" i="12"/>
  <c r="AY46" i="12"/>
  <c r="BL46" i="12" s="1"/>
  <c r="AW46" i="12"/>
  <c r="BK46" i="12" s="1"/>
  <c r="AT46" i="12"/>
  <c r="AS45" i="12"/>
  <c r="BH45" i="12"/>
  <c r="AF45" i="12"/>
  <c r="AE45" i="12"/>
  <c r="AX45" i="12"/>
  <c r="AB45" i="12"/>
  <c r="AC45" i="12" s="1"/>
  <c r="BM45" i="12"/>
  <c r="AJ45" i="11"/>
  <c r="BH46" i="11"/>
  <c r="AB46" i="11"/>
  <c r="AC46" i="11" s="1"/>
  <c r="AF46" i="11"/>
  <c r="AE46" i="11"/>
  <c r="BM46" i="11"/>
  <c r="AX46" i="11"/>
  <c r="AI46" i="11"/>
  <c r="AW47" i="11"/>
  <c r="AG47" i="11"/>
  <c r="AG49" i="11" s="1"/>
  <c r="BS47" i="11"/>
  <c r="BS49" i="11" s="1"/>
  <c r="V47" i="11"/>
  <c r="BO47" i="11"/>
  <c r="AD47" i="11"/>
  <c r="AQ47" i="11"/>
  <c r="AP47" i="11"/>
  <c r="AY47" i="11"/>
  <c r="AA47" i="11"/>
  <c r="BP47" i="11"/>
  <c r="BP49" i="11" s="1"/>
  <c r="AR47" i="11"/>
  <c r="AR49" i="11" s="1"/>
  <c r="AO47" i="11"/>
  <c r="X47" i="11"/>
  <c r="AT47" i="11"/>
  <c r="BT49" i="11"/>
  <c r="Y47" i="11"/>
  <c r="BR47" i="11"/>
  <c r="Z47" i="11"/>
  <c r="AJ43" i="13"/>
  <c r="AK44" i="13"/>
  <c r="AS44" i="13"/>
  <c r="BR45" i="13"/>
  <c r="X45" i="13"/>
  <c r="AW45" i="13"/>
  <c r="BK45" i="13" s="1"/>
  <c r="AG45" i="13"/>
  <c r="BS45" i="13"/>
  <c r="BQ45" i="13"/>
  <c r="AY45" i="13"/>
  <c r="BL45" i="13" s="1"/>
  <c r="AV45" i="13"/>
  <c r="BJ45" i="13" s="1"/>
  <c r="W46" i="13"/>
  <c r="AT45" i="13"/>
  <c r="V45" i="13"/>
  <c r="BP45" i="13"/>
  <c r="AR45" i="13"/>
  <c r="AA45" i="13"/>
  <c r="Z45" i="13"/>
  <c r="Y45" i="13"/>
  <c r="AD45" i="13"/>
  <c r="BX45" i="13"/>
  <c r="BO45" i="13"/>
  <c r="AU45" i="13"/>
  <c r="BI45" i="13" s="1"/>
  <c r="AQ45" i="13"/>
  <c r="AP45" i="13"/>
  <c r="AO45" i="13"/>
  <c r="BN43" i="13"/>
  <c r="BV43" i="13" s="1"/>
  <c r="BY43" i="13" s="1"/>
  <c r="BU44" i="13"/>
  <c r="BM44" i="13"/>
  <c r="AB44" i="13"/>
  <c r="AC44" i="13" s="1"/>
  <c r="AX44" i="13"/>
  <c r="AF44" i="13"/>
  <c r="AE44" i="13"/>
  <c r="AI44" i="13" s="1"/>
  <c r="BH44" i="13"/>
  <c r="BN44" i="13" s="1"/>
  <c r="W47" i="17"/>
  <c r="X46" i="17"/>
  <c r="AY46" i="17" s="1"/>
  <c r="X45" i="10"/>
  <c r="BT45" i="10" s="1"/>
  <c r="W46" i="10"/>
  <c r="BV44" i="13" l="1"/>
  <c r="BY44" i="13" s="1"/>
  <c r="CE46" i="9"/>
  <c r="CA46" i="10"/>
  <c r="AJ46" i="11"/>
  <c r="AS46" i="12"/>
  <c r="BC47" i="22"/>
  <c r="AJ47" i="22"/>
  <c r="BV47" i="22"/>
  <c r="BN49" i="22"/>
  <c r="AK49" i="22"/>
  <c r="O142" i="22"/>
  <c r="AL17" i="22" s="1"/>
  <c r="AM47" i="22"/>
  <c r="AJ49" i="22"/>
  <c r="Y53" i="20" s="1"/>
  <c r="AH46" i="17"/>
  <c r="X47" i="17"/>
  <c r="AY47" i="17" s="1"/>
  <c r="BX46" i="17"/>
  <c r="AB46" i="17"/>
  <c r="BX47" i="17"/>
  <c r="AB47" i="17"/>
  <c r="BH45" i="9"/>
  <c r="V46" i="9"/>
  <c r="BP46" i="9"/>
  <c r="AA46" i="9"/>
  <c r="AQ46" i="9"/>
  <c r="AW46" i="9"/>
  <c r="BK46" i="9" s="1"/>
  <c r="BS46" i="9"/>
  <c r="AD46" i="9"/>
  <c r="Y46" i="9"/>
  <c r="Z46" i="9"/>
  <c r="BO46" i="9"/>
  <c r="AO46" i="9"/>
  <c r="X46" i="9"/>
  <c r="AP46" i="9"/>
  <c r="W47" i="9"/>
  <c r="AT46" i="9"/>
  <c r="AF45" i="9"/>
  <c r="BM45" i="9"/>
  <c r="AB45" i="9"/>
  <c r="AC45" i="9" s="1"/>
  <c r="AX45" i="9"/>
  <c r="AE45" i="9"/>
  <c r="AW47" i="12"/>
  <c r="AR47" i="12"/>
  <c r="AR49" i="12" s="1"/>
  <c r="AA47" i="12"/>
  <c r="BS47" i="12"/>
  <c r="AD47" i="12"/>
  <c r="AY47" i="12"/>
  <c r="BR47" i="12"/>
  <c r="Z47" i="12"/>
  <c r="AT47" i="12"/>
  <c r="AQ47" i="12"/>
  <c r="AP47" i="12"/>
  <c r="AO47" i="12"/>
  <c r="BP47" i="12"/>
  <c r="BP49" i="12" s="1"/>
  <c r="Y47" i="12"/>
  <c r="X47" i="12"/>
  <c r="BT47" i="12" s="1"/>
  <c r="BT49" i="12" s="1"/>
  <c r="V47" i="12"/>
  <c r="BO47" i="12"/>
  <c r="AB46" i="12"/>
  <c r="AC46" i="12" s="1"/>
  <c r="AX46" i="12"/>
  <c r="BM46" i="12"/>
  <c r="AF46" i="12"/>
  <c r="AE46" i="12"/>
  <c r="BH46" i="12"/>
  <c r="AA49" i="11"/>
  <c r="BR49" i="11"/>
  <c r="Y49" i="11"/>
  <c r="AD49" i="11"/>
  <c r="BH47" i="11"/>
  <c r="BL47" i="11"/>
  <c r="BL49" i="11" s="1"/>
  <c r="AY49" i="11"/>
  <c r="BM47" i="11"/>
  <c r="BM49" i="11" s="1"/>
  <c r="AX47" i="11"/>
  <c r="AX49" i="11" s="1"/>
  <c r="AF47" i="11"/>
  <c r="AF49" i="11" s="1"/>
  <c r="AE47" i="11"/>
  <c r="AE49" i="11" s="1"/>
  <c r="AB47" i="11"/>
  <c r="AB49" i="11" s="1"/>
  <c r="AS47" i="11"/>
  <c r="BK47" i="11"/>
  <c r="BK49" i="11" s="1"/>
  <c r="AW49" i="11"/>
  <c r="AJ44" i="13"/>
  <c r="BM45" i="13"/>
  <c r="AF45" i="13"/>
  <c r="AB45" i="13"/>
  <c r="AC45" i="13" s="1"/>
  <c r="AE45" i="13"/>
  <c r="AI45" i="13" s="1"/>
  <c r="AX45" i="13"/>
  <c r="BX46" i="13"/>
  <c r="BR46" i="13"/>
  <c r="X46" i="13"/>
  <c r="BP46" i="13"/>
  <c r="BO46" i="13"/>
  <c r="AW46" i="13"/>
  <c r="BK46" i="13" s="1"/>
  <c r="BQ46" i="13"/>
  <c r="AT46" i="13"/>
  <c r="AR46" i="13"/>
  <c r="V46" i="13"/>
  <c r="AQ46" i="13"/>
  <c r="BS46" i="13"/>
  <c r="AP46" i="13"/>
  <c r="AO46" i="13"/>
  <c r="AG46" i="13"/>
  <c r="AD46" i="13"/>
  <c r="W47" i="13"/>
  <c r="Z46" i="13"/>
  <c r="Y46" i="13"/>
  <c r="AY46" i="13"/>
  <c r="BL46" i="13" s="1"/>
  <c r="AA46" i="13"/>
  <c r="AU46" i="13"/>
  <c r="BI46" i="13" s="1"/>
  <c r="AV46" i="13"/>
  <c r="BJ46" i="13" s="1"/>
  <c r="BU45" i="13"/>
  <c r="AK45" i="13"/>
  <c r="AS45" i="13"/>
  <c r="BH45" i="13"/>
  <c r="BN45" i="13" s="1"/>
  <c r="W47" i="10"/>
  <c r="X46" i="10"/>
  <c r="BT46" i="10" s="1"/>
  <c r="BC49" i="22" l="1"/>
  <c r="Z53" i="20" s="1"/>
  <c r="BD47" i="22"/>
  <c r="BD49" i="22" s="1"/>
  <c r="Z54" i="20" s="1"/>
  <c r="CE47" i="9"/>
  <c r="CA47" i="10"/>
  <c r="X47" i="10"/>
  <c r="BT47" i="10" s="1"/>
  <c r="AM17" i="22"/>
  <c r="Y48" i="20"/>
  <c r="AL49" i="22"/>
  <c r="AM49" i="22"/>
  <c r="BV49" i="22"/>
  <c r="AH47" i="17"/>
  <c r="BV45" i="13"/>
  <c r="BY45" i="13" s="1"/>
  <c r="Z47" i="9"/>
  <c r="AP47" i="9"/>
  <c r="AA47" i="9"/>
  <c r="AQ47" i="9"/>
  <c r="V47" i="9"/>
  <c r="AT47" i="9"/>
  <c r="AW47" i="9"/>
  <c r="AD47" i="9"/>
  <c r="BP47" i="9"/>
  <c r="AO47" i="9"/>
  <c r="BS47" i="9"/>
  <c r="BO47" i="9"/>
  <c r="X47" i="9"/>
  <c r="Y47" i="9"/>
  <c r="BH46" i="9"/>
  <c r="AB46" i="9"/>
  <c r="AC46" i="9" s="1"/>
  <c r="AX46" i="9"/>
  <c r="AF46" i="9"/>
  <c r="AE46" i="9"/>
  <c r="BM46" i="9"/>
  <c r="BR49" i="12"/>
  <c r="BL47" i="12"/>
  <c r="BL49" i="12" s="1"/>
  <c r="AY49" i="12"/>
  <c r="BM47" i="12"/>
  <c r="BM49" i="12" s="1"/>
  <c r="AF47" i="12"/>
  <c r="AF49" i="12" s="1"/>
  <c r="AE47" i="12"/>
  <c r="AE49" i="12" s="1"/>
  <c r="AX47" i="12"/>
  <c r="AX49" i="12" s="1"/>
  <c r="AB47" i="12"/>
  <c r="AB49" i="12" s="1"/>
  <c r="BK47" i="12"/>
  <c r="BK49" i="12" s="1"/>
  <c r="AW49" i="12"/>
  <c r="AS47" i="12"/>
  <c r="BH47" i="12"/>
  <c r="AI47" i="11"/>
  <c r="AI49" i="11" s="1"/>
  <c r="AC47" i="11"/>
  <c r="AH49" i="11"/>
  <c r="AJ45" i="13"/>
  <c r="BX47" i="13"/>
  <c r="BO47" i="13"/>
  <c r="AV47" i="13"/>
  <c r="AD47" i="13"/>
  <c r="AU47" i="13"/>
  <c r="AP47" i="13"/>
  <c r="V47" i="13"/>
  <c r="AG47" i="13"/>
  <c r="AG49" i="13" s="1"/>
  <c r="BQ47" i="13"/>
  <c r="BQ49" i="13" s="1"/>
  <c r="AO47" i="13"/>
  <c r="BP47" i="13"/>
  <c r="BP49" i="13" s="1"/>
  <c r="AY47" i="13"/>
  <c r="AW47" i="13"/>
  <c r="AT47" i="13"/>
  <c r="AR47" i="13"/>
  <c r="AR49" i="13" s="1"/>
  <c r="AQ47" i="13"/>
  <c r="BT49" i="13"/>
  <c r="BS47" i="13"/>
  <c r="BS49" i="13" s="1"/>
  <c r="BR47" i="13"/>
  <c r="AA47" i="13"/>
  <c r="Z47" i="13"/>
  <c r="Y47" i="13"/>
  <c r="X47" i="13"/>
  <c r="AI46" i="13"/>
  <c r="AX46" i="13"/>
  <c r="AF46" i="13"/>
  <c r="AE46" i="13"/>
  <c r="BM46" i="13"/>
  <c r="AB46" i="13"/>
  <c r="AS46" i="13"/>
  <c r="BH46" i="13"/>
  <c r="BN46" i="13" s="1"/>
  <c r="AC46" i="13"/>
  <c r="BU46" i="13"/>
  <c r="AK46" i="13"/>
  <c r="W12" i="22" l="1"/>
  <c r="X12" i="22"/>
  <c r="Y12" i="22" s="1"/>
  <c r="Y52" i="20" s="1"/>
  <c r="Y54" i="20"/>
  <c r="BK47" i="9"/>
  <c r="BH47" i="9"/>
  <c r="AE47" i="9"/>
  <c r="AF47" i="9"/>
  <c r="AF49" i="9" s="1"/>
  <c r="AB47" i="9"/>
  <c r="AB49" i="9" s="1"/>
  <c r="AX47" i="9"/>
  <c r="AX49" i="9" s="1"/>
  <c r="BM47" i="9"/>
  <c r="BM49" i="9" s="1"/>
  <c r="AC47" i="12"/>
  <c r="AJ47" i="11"/>
  <c r="BR49" i="13"/>
  <c r="AC47" i="13"/>
  <c r="Y49" i="13"/>
  <c r="AK47" i="13"/>
  <c r="AA49" i="13"/>
  <c r="BV46" i="13"/>
  <c r="BY46" i="13" s="1"/>
  <c r="BI47" i="13"/>
  <c r="BI49" i="13" s="1"/>
  <c r="AU49" i="13"/>
  <c r="BK47" i="13"/>
  <c r="BK49" i="13" s="1"/>
  <c r="AW49" i="13"/>
  <c r="BL47" i="13"/>
  <c r="BL49" i="13" s="1"/>
  <c r="AY49" i="13"/>
  <c r="AX47" i="13"/>
  <c r="AX49" i="13" s="1"/>
  <c r="BM47" i="13"/>
  <c r="BM49" i="13" s="1"/>
  <c r="AB47" i="13"/>
  <c r="AB49" i="13" s="1"/>
  <c r="AF47" i="13"/>
  <c r="AF49" i="13" s="1"/>
  <c r="AE47" i="13"/>
  <c r="AE49" i="13" s="1"/>
  <c r="AS47" i="13"/>
  <c r="AJ46" i="13"/>
  <c r="AI47" i="13"/>
  <c r="AI49" i="13" s="1"/>
  <c r="AD49" i="13"/>
  <c r="BJ47" i="13"/>
  <c r="BJ49" i="13" s="1"/>
  <c r="AV49" i="13"/>
  <c r="BU47" i="13"/>
  <c r="BH47" i="13"/>
  <c r="AC47" i="9" l="1"/>
  <c r="AK49" i="13"/>
  <c r="AH49" i="13"/>
  <c r="BN47" i="13"/>
  <c r="AJ47" i="13"/>
  <c r="BV47" i="13" l="1"/>
  <c r="BY47" i="13" l="1"/>
  <c r="BY16" i="13" s="1"/>
  <c r="AC39" i="20" l="1"/>
  <c r="AB39" i="20"/>
  <c r="V39" i="20"/>
  <c r="W39" i="20" s="1"/>
  <c r="S39" i="20"/>
  <c r="P39" i="20"/>
  <c r="Q39" i="20" s="1"/>
  <c r="M39" i="20"/>
  <c r="N39" i="20" s="1"/>
  <c r="J39" i="20"/>
  <c r="K39" i="20" s="1"/>
  <c r="AC30" i="20"/>
  <c r="AB30" i="20"/>
  <c r="AC28" i="20"/>
  <c r="AB28" i="20"/>
  <c r="V28" i="20"/>
  <c r="S28" i="20"/>
  <c r="P28" i="20"/>
  <c r="Q28" i="20" s="1"/>
  <c r="AC20" i="20"/>
  <c r="AB20" i="20"/>
  <c r="AC18" i="20"/>
  <c r="AC19" i="20" s="1"/>
  <c r="AB18" i="20"/>
  <c r="AB19" i="20" s="1"/>
  <c r="W18" i="20"/>
  <c r="W19" i="20" s="1"/>
  <c r="V18" i="20"/>
  <c r="V19" i="20" s="1"/>
  <c r="T18" i="20"/>
  <c r="H18" i="20" s="1"/>
  <c r="S18" i="20"/>
  <c r="Q18" i="20"/>
  <c r="Q19" i="20" s="1"/>
  <c r="P18" i="20"/>
  <c r="P19" i="20" s="1"/>
  <c r="N18" i="20"/>
  <c r="N19" i="20" s="1"/>
  <c r="M18" i="20"/>
  <c r="M19" i="20" s="1"/>
  <c r="K18" i="20"/>
  <c r="K19" i="20" s="1"/>
  <c r="J18" i="20"/>
  <c r="J19" i="20" s="1"/>
  <c r="AB11" i="20"/>
  <c r="AB10" i="20"/>
  <c r="V11" i="20"/>
  <c r="V10" i="20"/>
  <c r="S11" i="20"/>
  <c r="S10" i="20"/>
  <c r="P11" i="20"/>
  <c r="P10" i="20"/>
  <c r="M11" i="20"/>
  <c r="M10" i="20"/>
  <c r="J11" i="20"/>
  <c r="J10" i="20"/>
  <c r="E33" i="12"/>
  <c r="E32" i="12"/>
  <c r="F32" i="12" s="1"/>
  <c r="O66" i="12"/>
  <c r="O66" i="11"/>
  <c r="P57" i="11"/>
  <c r="P58" i="13"/>
  <c r="E33" i="13"/>
  <c r="E32" i="13"/>
  <c r="F32" i="13" s="1"/>
  <c r="E33" i="11"/>
  <c r="F33" i="11" s="1"/>
  <c r="E32" i="11"/>
  <c r="F32" i="11" s="1"/>
  <c r="P34" i="13"/>
  <c r="E33" i="9"/>
  <c r="E32" i="9"/>
  <c r="F32" i="9" s="1"/>
  <c r="G31" i="20" l="1"/>
  <c r="H56" i="20"/>
  <c r="G8" i="20"/>
  <c r="G40" i="20"/>
  <c r="G19" i="20"/>
  <c r="G18" i="20"/>
  <c r="G11" i="20"/>
  <c r="G10" i="20"/>
  <c r="G28" i="20"/>
  <c r="G39" i="20"/>
  <c r="G20" i="20"/>
  <c r="G30" i="20"/>
  <c r="S19" i="20"/>
  <c r="T28" i="20"/>
  <c r="H28" i="20" s="1"/>
  <c r="T19" i="20"/>
  <c r="H19" i="20" s="1"/>
  <c r="T39" i="20"/>
  <c r="H39" i="20" s="1"/>
  <c r="AB9" i="20"/>
  <c r="O32" i="12"/>
  <c r="O33" i="12" s="1"/>
  <c r="F33" i="12"/>
  <c r="O32" i="11"/>
  <c r="O33" i="11" s="1"/>
  <c r="O34" i="11" s="1"/>
  <c r="O35" i="11" s="1"/>
  <c r="O32" i="13"/>
  <c r="O33" i="13" s="1"/>
  <c r="O34" i="13" s="1"/>
  <c r="O35" i="13" s="1"/>
  <c r="M9" i="20"/>
  <c r="Q29" i="20"/>
  <c r="J9" i="20"/>
  <c r="P9" i="20"/>
  <c r="V29" i="20"/>
  <c r="W28" i="20"/>
  <c r="W29" i="20" s="1"/>
  <c r="P29" i="20"/>
  <c r="S29" i="20"/>
  <c r="G29" i="20" s="1"/>
  <c r="V9" i="20"/>
  <c r="S9" i="20"/>
  <c r="F33" i="13"/>
  <c r="O32" i="9"/>
  <c r="O33" i="9" s="1"/>
  <c r="F33" i="9"/>
  <c r="G9" i="20" l="1"/>
  <c r="T29" i="20"/>
  <c r="H29" i="20" s="1"/>
  <c r="O34" i="9"/>
  <c r="O35" i="9" s="1"/>
  <c r="V15" i="20" s="1"/>
  <c r="AD20" i="9"/>
  <c r="O34" i="12"/>
  <c r="O35" i="12" s="1"/>
  <c r="AD20" i="12"/>
  <c r="O65" i="11"/>
  <c r="M15" i="20"/>
  <c r="O65" i="13"/>
  <c r="P15" i="20"/>
  <c r="AD49" i="9" l="1"/>
  <c r="O65" i="12"/>
  <c r="J15" i="20"/>
  <c r="AD49" i="12"/>
  <c r="O67" i="11"/>
  <c r="M16" i="20"/>
  <c r="P16" i="20"/>
  <c r="O67" i="12"/>
  <c r="J16" i="20"/>
  <c r="P104" i="9" l="1"/>
  <c r="P102" i="9"/>
  <c r="F40" i="9"/>
  <c r="F41" i="9"/>
  <c r="F41" i="10"/>
  <c r="F40" i="10"/>
  <c r="P104" i="10" l="1"/>
  <c r="P103" i="10"/>
  <c r="P105" i="10"/>
  <c r="F40" i="17" l="1"/>
  <c r="Q88" i="17" l="1"/>
  <c r="H95" i="17" l="1"/>
  <c r="G95" i="17"/>
  <c r="P87" i="17" l="1"/>
  <c r="P60" i="17" l="1"/>
  <c r="P57" i="17" l="1"/>
  <c r="P56" i="17"/>
  <c r="P127" i="17" l="1"/>
  <c r="F72" i="17"/>
  <c r="E72" i="17"/>
  <c r="P109" i="17"/>
  <c r="AF12" i="17" s="1"/>
  <c r="F106" i="17" l="1"/>
  <c r="K87" i="17"/>
  <c r="P151" i="17"/>
  <c r="P148" i="17"/>
  <c r="P147" i="17"/>
  <c r="P144" i="17"/>
  <c r="P143" i="17"/>
  <c r="P122" i="17"/>
  <c r="P140" i="17"/>
  <c r="P139" i="17"/>
  <c r="P108" i="17"/>
  <c r="P47" i="17"/>
  <c r="F41" i="17"/>
  <c r="P39" i="17" s="1"/>
  <c r="AC40" i="20" s="1"/>
  <c r="F36" i="17"/>
  <c r="E33" i="17"/>
  <c r="E32" i="17"/>
  <c r="F32" i="17" s="1"/>
  <c r="F21" i="17"/>
  <c r="F22" i="17" s="1"/>
  <c r="F23" i="17" s="1"/>
  <c r="P18" i="17"/>
  <c r="O32" i="17" l="1"/>
  <c r="AR18" i="17"/>
  <c r="P136" i="17"/>
  <c r="P58" i="17"/>
  <c r="P59" i="17" s="1"/>
  <c r="F33" i="17"/>
  <c r="P134" i="17"/>
  <c r="P145" i="17"/>
  <c r="P152" i="17"/>
  <c r="P149" i="17"/>
  <c r="P141" i="17"/>
  <c r="BB19" i="17" l="1"/>
  <c r="BB18" i="17"/>
  <c r="P61" i="17"/>
  <c r="P62" i="17" s="1"/>
  <c r="BX22" i="17"/>
  <c r="BX23" i="17"/>
  <c r="BX24" i="17"/>
  <c r="BX25" i="17"/>
  <c r="BX26" i="17"/>
  <c r="BX27" i="17"/>
  <c r="BX28" i="17"/>
  <c r="BX29" i="17"/>
  <c r="BX30" i="17"/>
  <c r="BX31" i="17"/>
  <c r="BX32" i="17"/>
  <c r="BX33" i="17"/>
  <c r="BX34" i="17"/>
  <c r="BX35" i="17"/>
  <c r="BX36" i="17"/>
  <c r="BX37" i="17"/>
  <c r="BX38" i="17"/>
  <c r="BX39" i="17"/>
  <c r="BX40" i="17"/>
  <c r="BX18" i="17"/>
  <c r="BX20" i="17"/>
  <c r="BX19" i="17"/>
  <c r="O94" i="17"/>
  <c r="O66" i="17"/>
  <c r="AB16" i="20" s="1"/>
  <c r="O34" i="17"/>
  <c r="Y18" i="17"/>
  <c r="BI18" i="17"/>
  <c r="AU18" i="17" s="1"/>
  <c r="AE18" i="17"/>
  <c r="BQ18" i="17"/>
  <c r="O35" i="17"/>
  <c r="V18" i="17"/>
  <c r="BW18" i="17"/>
  <c r="AF18" i="17"/>
  <c r="AP18" i="17"/>
  <c r="BR18" i="17"/>
  <c r="AA18" i="17"/>
  <c r="AQ18" i="17"/>
  <c r="Z18" i="17"/>
  <c r="BS18" i="17"/>
  <c r="AZ18" i="17"/>
  <c r="BM18" i="17" s="1"/>
  <c r="BV18" i="17"/>
  <c r="P154" i="17"/>
  <c r="P155" i="17"/>
  <c r="P156" i="17"/>
  <c r="BL19" i="17" l="1"/>
  <c r="BL18" i="17"/>
  <c r="V19" i="17"/>
  <c r="V20" i="17" s="1"/>
  <c r="BW19" i="17"/>
  <c r="BV19" i="17"/>
  <c r="O36" i="17"/>
  <c r="AB15" i="20" s="1"/>
  <c r="BW20" i="17"/>
  <c r="AA19" i="17"/>
  <c r="Z19" i="17"/>
  <c r="AQ19" i="17"/>
  <c r="Y19" i="17"/>
  <c r="BR19" i="17"/>
  <c r="AZ19" i="17"/>
  <c r="BM19" i="17" s="1"/>
  <c r="BS19" i="17"/>
  <c r="AP19" i="17"/>
  <c r="AF19" i="17"/>
  <c r="AR19" i="17"/>
  <c r="CL19" i="17"/>
  <c r="AE19" i="17"/>
  <c r="BQ19" i="17"/>
  <c r="BI19" i="17"/>
  <c r="AU19" i="17" s="1"/>
  <c r="AC19" i="17"/>
  <c r="BO19" i="17"/>
  <c r="BN19" i="17"/>
  <c r="AC18" i="17"/>
  <c r="BO18" i="17"/>
  <c r="BN18" i="17"/>
  <c r="CD19" i="17"/>
  <c r="O95" i="17"/>
  <c r="CC18" i="17"/>
  <c r="CI18" i="17" s="1"/>
  <c r="CJ18" i="17" s="1"/>
  <c r="AS18" i="17" s="1"/>
  <c r="AT18" i="17" s="1"/>
  <c r="AG18" i="17"/>
  <c r="CC19" i="17"/>
  <c r="AG19" i="17"/>
  <c r="BS20" i="17"/>
  <c r="BB20" i="17" l="1"/>
  <c r="AZ20" i="17"/>
  <c r="BM20" i="17" s="1"/>
  <c r="CK20" i="17"/>
  <c r="AE20" i="17"/>
  <c r="BR20" i="17"/>
  <c r="AF20" i="17"/>
  <c r="BV20" i="17"/>
  <c r="CC20" i="17"/>
  <c r="O96" i="17"/>
  <c r="AB35" i="20"/>
  <c r="AD18" i="17"/>
  <c r="CK21" i="17"/>
  <c r="AE21" i="17"/>
  <c r="BI21" i="17"/>
  <c r="AU21" i="17" s="1"/>
  <c r="Y20" i="17"/>
  <c r="V21" i="17"/>
  <c r="CI19" i="17"/>
  <c r="CJ19" i="17" s="1"/>
  <c r="AS19" i="17" s="1"/>
  <c r="AT19" i="17" s="1"/>
  <c r="BV21" i="17"/>
  <c r="BW21" i="17"/>
  <c r="BR21" i="17"/>
  <c r="Z21" i="17"/>
  <c r="AP21" i="17"/>
  <c r="AA21" i="17"/>
  <c r="AQ21" i="17"/>
  <c r="AR21" i="17"/>
  <c r="AZ21" i="17"/>
  <c r="BM21" i="17" s="1"/>
  <c r="Y21" i="17"/>
  <c r="AG20" i="17"/>
  <c r="O99" i="17" l="1"/>
  <c r="AI18" i="17"/>
  <c r="AI19" i="17" s="1"/>
  <c r="AI20" i="17" s="1"/>
  <c r="AD19" i="17"/>
  <c r="AC20" i="17"/>
  <c r="BL20" i="17"/>
  <c r="O97" i="17"/>
  <c r="AB37" i="20" s="1"/>
  <c r="BO20" i="17"/>
  <c r="AF21" i="17"/>
  <c r="BQ21" i="17"/>
  <c r="BN20" i="17"/>
  <c r="AB36" i="20"/>
  <c r="CL22" i="17"/>
  <c r="BQ22" i="17"/>
  <c r="AE22" i="17"/>
  <c r="BI22" i="17"/>
  <c r="AU22" i="17" s="1"/>
  <c r="CK22" i="17"/>
  <c r="V22" i="17"/>
  <c r="CI20" i="17"/>
  <c r="BV22" i="17"/>
  <c r="BW22" i="17"/>
  <c r="AF22" i="17"/>
  <c r="AZ22" i="17"/>
  <c r="BM22" i="17" s="1"/>
  <c r="BR22" i="17"/>
  <c r="Y22" i="17"/>
  <c r="AQ22" i="17"/>
  <c r="AR22" i="17"/>
  <c r="AP22" i="17"/>
  <c r="Z22" i="17"/>
  <c r="AA22" i="17"/>
  <c r="E94" i="17"/>
  <c r="AA20" i="17"/>
  <c r="O98" i="17" l="1"/>
  <c r="AB38" i="20" s="1"/>
  <c r="AI21" i="17"/>
  <c r="Z20" i="17"/>
  <c r="CC21" i="17"/>
  <c r="CI21" i="17" s="1"/>
  <c r="BN21" i="17"/>
  <c r="BO21" i="17"/>
  <c r="AC21" i="17"/>
  <c r="CL23" i="17"/>
  <c r="BI23" i="17"/>
  <c r="AU23" i="17" s="1"/>
  <c r="AE23" i="17"/>
  <c r="BQ23" i="17"/>
  <c r="CK23" i="17"/>
  <c r="AC22" i="17"/>
  <c r="BO22" i="17"/>
  <c r="BN22" i="17"/>
  <c r="CC22" i="17"/>
  <c r="V23" i="17"/>
  <c r="CJ20" i="17"/>
  <c r="AS20" i="17" s="1"/>
  <c r="BV23" i="17"/>
  <c r="BW23" i="17"/>
  <c r="AF23" i="17"/>
  <c r="BR23" i="17"/>
  <c r="Z23" i="17"/>
  <c r="AR23" i="17"/>
  <c r="AQ23" i="17"/>
  <c r="AA23" i="17"/>
  <c r="Y23" i="17"/>
  <c r="AZ23" i="17"/>
  <c r="BM23" i="17" s="1"/>
  <c r="AP23" i="17"/>
  <c r="AK18" i="17"/>
  <c r="AI22" i="17" l="1"/>
  <c r="AI23" i="17"/>
  <c r="AI24" i="17" s="1"/>
  <c r="AD20" i="17"/>
  <c r="AK19" i="17"/>
  <c r="AL19" i="17" s="1"/>
  <c r="CL24" i="17"/>
  <c r="CI22" i="17"/>
  <c r="CJ22" i="17" s="1"/>
  <c r="AS22" i="17" s="1"/>
  <c r="CJ21" i="17"/>
  <c r="AS21" i="17" s="1"/>
  <c r="BI24" i="17"/>
  <c r="AU24" i="17" s="1"/>
  <c r="AE24" i="17"/>
  <c r="BQ24" i="17"/>
  <c r="CK24" i="17"/>
  <c r="AC23" i="17"/>
  <c r="BO23" i="17"/>
  <c r="BN23" i="17"/>
  <c r="CC23" i="17"/>
  <c r="V24" i="17"/>
  <c r="BV24" i="17"/>
  <c r="BW24" i="17"/>
  <c r="AF24" i="17"/>
  <c r="AQ24" i="17"/>
  <c r="BR24" i="17"/>
  <c r="AZ24" i="17"/>
  <c r="BM24" i="17" s="1"/>
  <c r="AA24" i="17"/>
  <c r="Z24" i="17"/>
  <c r="AR24" i="17"/>
  <c r="Y24" i="17"/>
  <c r="AP24" i="17"/>
  <c r="AL18" i="17"/>
  <c r="AI25" i="17" l="1"/>
  <c r="AD21" i="17"/>
  <c r="CI23" i="17"/>
  <c r="CJ23" i="17" s="1"/>
  <c r="AS23" i="17" s="1"/>
  <c r="CL25" i="17"/>
  <c r="BQ25" i="17"/>
  <c r="BI25" i="17"/>
  <c r="AU25" i="17" s="1"/>
  <c r="CK25" i="17"/>
  <c r="AE25" i="17"/>
  <c r="AC24" i="17"/>
  <c r="BO24" i="17"/>
  <c r="BN24" i="17"/>
  <c r="CC24" i="17"/>
  <c r="AK20" i="17"/>
  <c r="AL20" i="17" s="1"/>
  <c r="V25" i="17"/>
  <c r="BW25" i="17"/>
  <c r="BV25" i="17"/>
  <c r="AF25" i="17"/>
  <c r="BR25" i="17"/>
  <c r="Y25" i="17"/>
  <c r="AP25" i="17"/>
  <c r="AQ25" i="17"/>
  <c r="Z25" i="17"/>
  <c r="AA25" i="17"/>
  <c r="AI26" i="17" s="1"/>
  <c r="AR25" i="17"/>
  <c r="AZ25" i="17"/>
  <c r="BM25" i="17" s="1"/>
  <c r="CI24" i="17" l="1"/>
  <c r="CJ24" i="17" s="1"/>
  <c r="AS24" i="17" s="1"/>
  <c r="AT24" i="17" s="1"/>
  <c r="CL26" i="17"/>
  <c r="AE26" i="17"/>
  <c r="BQ26" i="17"/>
  <c r="CK26" i="17"/>
  <c r="BI26" i="17"/>
  <c r="AU26" i="17" s="1"/>
  <c r="BO25" i="17"/>
  <c r="BN25" i="17"/>
  <c r="AC25" i="17"/>
  <c r="CC25" i="17"/>
  <c r="V26" i="17"/>
  <c r="BW26" i="17"/>
  <c r="BV26" i="17"/>
  <c r="AF26" i="17"/>
  <c r="BR26" i="17"/>
  <c r="Z26" i="17"/>
  <c r="AA26" i="17"/>
  <c r="AI27" i="17" s="1"/>
  <c r="AZ26" i="17"/>
  <c r="BM26" i="17" s="1"/>
  <c r="AP26" i="17"/>
  <c r="AR26" i="17"/>
  <c r="Y26" i="17"/>
  <c r="AQ26" i="17"/>
  <c r="CI25" i="17" l="1"/>
  <c r="AD22" i="17"/>
  <c r="CL27" i="17"/>
  <c r="CK27" i="17"/>
  <c r="AE27" i="17"/>
  <c r="BQ27" i="17"/>
  <c r="BI27" i="17"/>
  <c r="AU27" i="17" s="1"/>
  <c r="BO26" i="17"/>
  <c r="BN26" i="17"/>
  <c r="AC26" i="17"/>
  <c r="V27" i="17"/>
  <c r="CC26" i="17"/>
  <c r="CI26" i="17" s="1"/>
  <c r="BV27" i="17"/>
  <c r="BW27" i="17"/>
  <c r="CJ25" i="17"/>
  <c r="AS25" i="17" s="1"/>
  <c r="AT25" i="17" s="1"/>
  <c r="AF27" i="17"/>
  <c r="BR27" i="17"/>
  <c r="Z27" i="17"/>
  <c r="AR27" i="17"/>
  <c r="AZ27" i="17"/>
  <c r="BM27" i="17" s="1"/>
  <c r="AA27" i="17"/>
  <c r="AI28" i="17" s="1"/>
  <c r="AP27" i="17"/>
  <c r="Y27" i="17"/>
  <c r="AQ27" i="17"/>
  <c r="CL28" i="17" l="1"/>
  <c r="V28" i="17"/>
  <c r="CK28" i="17"/>
  <c r="BQ28" i="17"/>
  <c r="BI28" i="17"/>
  <c r="AU28" i="17" s="1"/>
  <c r="AE28" i="17"/>
  <c r="BO27" i="17"/>
  <c r="BN27" i="17"/>
  <c r="AC27" i="17"/>
  <c r="CC27" i="17"/>
  <c r="CI27" i="17" s="1"/>
  <c r="BV28" i="17"/>
  <c r="BW28" i="17"/>
  <c r="CJ26" i="17"/>
  <c r="AS26" i="17" s="1"/>
  <c r="AT26" i="17" s="1"/>
  <c r="AF28" i="17"/>
  <c r="BR28" i="17"/>
  <c r="AA28" i="17"/>
  <c r="AI29" i="17" s="1"/>
  <c r="AQ28" i="17"/>
  <c r="AR28" i="17"/>
  <c r="AP28" i="17"/>
  <c r="Z28" i="17"/>
  <c r="Y28" i="17"/>
  <c r="AZ28" i="17"/>
  <c r="BM28" i="17" s="1"/>
  <c r="AD23" i="17" l="1"/>
  <c r="CL29" i="17"/>
  <c r="V29" i="17"/>
  <c r="BQ29" i="17"/>
  <c r="CK29" i="17"/>
  <c r="BI29" i="17"/>
  <c r="AU29" i="17" s="1"/>
  <c r="AE29" i="17"/>
  <c r="BO28" i="17"/>
  <c r="BN28" i="17"/>
  <c r="AC28" i="17"/>
  <c r="CC28" i="17"/>
  <c r="CI28" i="17" s="1"/>
  <c r="BV29" i="17"/>
  <c r="BW29" i="17"/>
  <c r="CJ27" i="17"/>
  <c r="AS27" i="17" s="1"/>
  <c r="AT27" i="17" s="1"/>
  <c r="AF29" i="17"/>
  <c r="BR29" i="17"/>
  <c r="Y29" i="17"/>
  <c r="AP29" i="17"/>
  <c r="Z29" i="17"/>
  <c r="AQ29" i="17"/>
  <c r="AZ29" i="17"/>
  <c r="BM29" i="17" s="1"/>
  <c r="AR29" i="17"/>
  <c r="AA29" i="17"/>
  <c r="AI30" i="17" s="1"/>
  <c r="AD24" i="17" l="1"/>
  <c r="CL30" i="17"/>
  <c r="V30" i="17"/>
  <c r="BI30" i="17"/>
  <c r="AU30" i="17" s="1"/>
  <c r="CK30" i="17"/>
  <c r="BQ30" i="17"/>
  <c r="AE30" i="17"/>
  <c r="BO29" i="17"/>
  <c r="BN29" i="17"/>
  <c r="AC29" i="17"/>
  <c r="CC29" i="17"/>
  <c r="CI29" i="17" s="1"/>
  <c r="BW30" i="17"/>
  <c r="BV30" i="17"/>
  <c r="CJ28" i="17"/>
  <c r="AS28" i="17" s="1"/>
  <c r="AT28" i="17" s="1"/>
  <c r="AF30" i="17"/>
  <c r="AP30" i="17"/>
  <c r="BR30" i="17"/>
  <c r="AR30" i="17"/>
  <c r="AQ30" i="17"/>
  <c r="Y30" i="17"/>
  <c r="AA30" i="17"/>
  <c r="AI31" i="17" s="1"/>
  <c r="AZ30" i="17"/>
  <c r="BM30" i="17" s="1"/>
  <c r="Z30" i="17"/>
  <c r="AD25" i="17" l="1"/>
  <c r="CL31" i="17"/>
  <c r="V31" i="17"/>
  <c r="BI31" i="17"/>
  <c r="AU31" i="17" s="1"/>
  <c r="CK31" i="17"/>
  <c r="AE31" i="17"/>
  <c r="BQ31" i="17"/>
  <c r="BN30" i="17"/>
  <c r="AC30" i="17"/>
  <c r="BO30" i="17"/>
  <c r="CC30" i="17"/>
  <c r="CI30" i="17" s="1"/>
  <c r="BW31" i="17"/>
  <c r="BV31" i="17"/>
  <c r="CJ29" i="17"/>
  <c r="AS29" i="17" s="1"/>
  <c r="AT29" i="17" s="1"/>
  <c r="AF31" i="17"/>
  <c r="BR31" i="17"/>
  <c r="AR31" i="17"/>
  <c r="AZ31" i="17"/>
  <c r="BM31" i="17" s="1"/>
  <c r="AP31" i="17"/>
  <c r="AQ31" i="17"/>
  <c r="AA31" i="17"/>
  <c r="AI32" i="17" s="1"/>
  <c r="Y31" i="17"/>
  <c r="Z31" i="17"/>
  <c r="AD26" i="17" l="1"/>
  <c r="CL32" i="17"/>
  <c r="V32" i="17"/>
  <c r="BI32" i="17"/>
  <c r="AU32" i="17" s="1"/>
  <c r="AE32" i="17"/>
  <c r="CK32" i="17"/>
  <c r="BQ32" i="17"/>
  <c r="BN31" i="17"/>
  <c r="AC31" i="17"/>
  <c r="BO31" i="17"/>
  <c r="CC31" i="17"/>
  <c r="CI31" i="17" s="1"/>
  <c r="BW32" i="17"/>
  <c r="BV32" i="17"/>
  <c r="CJ30" i="17"/>
  <c r="AS30" i="17" s="1"/>
  <c r="AT30" i="17" s="1"/>
  <c r="AF32" i="17"/>
  <c r="Y32" i="17"/>
  <c r="BR32" i="17"/>
  <c r="AA32" i="17"/>
  <c r="AI33" i="17" s="1"/>
  <c r="AQ32" i="17"/>
  <c r="AR32" i="17"/>
  <c r="AP32" i="17"/>
  <c r="AZ32" i="17"/>
  <c r="BM32" i="17" s="1"/>
  <c r="Z32" i="17"/>
  <c r="AD27" i="17" l="1"/>
  <c r="CL33" i="17"/>
  <c r="V33" i="17"/>
  <c r="AE33" i="17"/>
  <c r="BQ33" i="17"/>
  <c r="BI33" i="17"/>
  <c r="AU33" i="17" s="1"/>
  <c r="CK33" i="17"/>
  <c r="AC32" i="17"/>
  <c r="BO32" i="17"/>
  <c r="BN32" i="17"/>
  <c r="CC32" i="17"/>
  <c r="CI32" i="17" s="1"/>
  <c r="BW33" i="17"/>
  <c r="BV33" i="17"/>
  <c r="CJ31" i="17"/>
  <c r="AS31" i="17" s="1"/>
  <c r="AT31" i="17" s="1"/>
  <c r="AF33" i="17"/>
  <c r="BR33" i="17"/>
  <c r="AP33" i="17"/>
  <c r="AQ33" i="17"/>
  <c r="AA33" i="17"/>
  <c r="AI34" i="17" s="1"/>
  <c r="Z33" i="17"/>
  <c r="AZ33" i="17"/>
  <c r="BM33" i="17" s="1"/>
  <c r="AR33" i="17"/>
  <c r="Y33" i="17"/>
  <c r="AD28" i="17" l="1"/>
  <c r="CL34" i="17"/>
  <c r="V34" i="17"/>
  <c r="AE34" i="17"/>
  <c r="CK34" i="17"/>
  <c r="BI34" i="17"/>
  <c r="AU34" i="17" s="1"/>
  <c r="BQ34" i="17"/>
  <c r="AC33" i="17"/>
  <c r="BO33" i="17"/>
  <c r="BN33" i="17"/>
  <c r="CC33" i="17"/>
  <c r="CI33" i="17" s="1"/>
  <c r="BV34" i="17"/>
  <c r="BW34" i="17"/>
  <c r="CJ32" i="17"/>
  <c r="AS32" i="17" s="1"/>
  <c r="AT32" i="17" s="1"/>
  <c r="AF34" i="17"/>
  <c r="Z34" i="17"/>
  <c r="BR34" i="17"/>
  <c r="AP34" i="17"/>
  <c r="AZ34" i="17"/>
  <c r="BM34" i="17" s="1"/>
  <c r="AR34" i="17"/>
  <c r="AA34" i="17"/>
  <c r="AI35" i="17" s="1"/>
  <c r="AQ34" i="17"/>
  <c r="Y34" i="17"/>
  <c r="AD29" i="17" l="1"/>
  <c r="AD30" i="17" s="1"/>
  <c r="AD31" i="17" s="1"/>
  <c r="AD32" i="17" s="1"/>
  <c r="AD33" i="17" s="1"/>
  <c r="CL35" i="17"/>
  <c r="V35" i="17"/>
  <c r="BQ35" i="17"/>
  <c r="CK35" i="17"/>
  <c r="AE35" i="17"/>
  <c r="BI35" i="17"/>
  <c r="AU35" i="17" s="1"/>
  <c r="AC34" i="17"/>
  <c r="BO34" i="17"/>
  <c r="BN34" i="17"/>
  <c r="CC34" i="17"/>
  <c r="CI34" i="17" s="1"/>
  <c r="BW35" i="17"/>
  <c r="BV35" i="17"/>
  <c r="CJ33" i="17"/>
  <c r="AS33" i="17" s="1"/>
  <c r="AT33" i="17" s="1"/>
  <c r="AF35" i="17"/>
  <c r="BR35" i="17"/>
  <c r="AR35" i="17"/>
  <c r="AZ35" i="17"/>
  <c r="BM35" i="17" s="1"/>
  <c r="Y35" i="17"/>
  <c r="Z35" i="17"/>
  <c r="AP35" i="17"/>
  <c r="AQ35" i="17"/>
  <c r="AA35" i="17"/>
  <c r="AI36" i="17" s="1"/>
  <c r="AD34" i="17" l="1"/>
  <c r="CL36" i="17"/>
  <c r="V36" i="17"/>
  <c r="BQ36" i="17"/>
  <c r="AE36" i="17"/>
  <c r="BI36" i="17"/>
  <c r="AU36" i="17" s="1"/>
  <c r="CK36" i="17"/>
  <c r="AC35" i="17"/>
  <c r="BO35" i="17"/>
  <c r="BN35" i="17"/>
  <c r="CC35" i="17"/>
  <c r="CI35" i="17" s="1"/>
  <c r="BV36" i="17"/>
  <c r="BW36" i="17"/>
  <c r="CJ34" i="17"/>
  <c r="AS34" i="17" s="1"/>
  <c r="AT34" i="17" s="1"/>
  <c r="AF36" i="17"/>
  <c r="Y36" i="17"/>
  <c r="BR36" i="17"/>
  <c r="AR36" i="17"/>
  <c r="Z36" i="17"/>
  <c r="AA36" i="17"/>
  <c r="AI37" i="17" s="1"/>
  <c r="AP36" i="17"/>
  <c r="AQ36" i="17"/>
  <c r="AZ36" i="17"/>
  <c r="BM36" i="17" s="1"/>
  <c r="CL37" i="17" l="1"/>
  <c r="V37" i="17"/>
  <c r="BI37" i="17"/>
  <c r="AU37" i="17" s="1"/>
  <c r="AE37" i="17"/>
  <c r="BQ37" i="17"/>
  <c r="CK37" i="17"/>
  <c r="AD35" i="17"/>
  <c r="AC36" i="17"/>
  <c r="BO36" i="17"/>
  <c r="BN36" i="17"/>
  <c r="CC36" i="17"/>
  <c r="CI36" i="17" s="1"/>
  <c r="BV37" i="17"/>
  <c r="BW37" i="17"/>
  <c r="CJ35" i="17"/>
  <c r="AS35" i="17" s="1"/>
  <c r="AT35" i="17" s="1"/>
  <c r="AF37" i="17"/>
  <c r="Y37" i="17"/>
  <c r="AA37" i="17"/>
  <c r="AI38" i="17" s="1"/>
  <c r="Z37" i="17"/>
  <c r="BR37" i="17"/>
  <c r="AP37" i="17"/>
  <c r="AQ37" i="17"/>
  <c r="AR37" i="17"/>
  <c r="AZ37" i="17"/>
  <c r="BM37" i="17" s="1"/>
  <c r="CL38" i="17" l="1"/>
  <c r="V38" i="17"/>
  <c r="BI38" i="17"/>
  <c r="AU38" i="17" s="1"/>
  <c r="AE38" i="17"/>
  <c r="BQ38" i="17"/>
  <c r="CK38" i="17"/>
  <c r="AC37" i="17"/>
  <c r="BO37" i="17"/>
  <c r="BN37" i="17"/>
  <c r="AF38" i="17"/>
  <c r="AD36" i="17"/>
  <c r="CC37" i="17"/>
  <c r="CI37" i="17" s="1"/>
  <c r="BV38" i="17"/>
  <c r="BW38" i="17"/>
  <c r="Y38" i="17"/>
  <c r="CJ36" i="17"/>
  <c r="AS36" i="17" s="1"/>
  <c r="AT36" i="17" s="1"/>
  <c r="BR38" i="17"/>
  <c r="AZ38" i="17"/>
  <c r="BM38" i="17" s="1"/>
  <c r="AP38" i="17"/>
  <c r="AQ38" i="17"/>
  <c r="AA38" i="17"/>
  <c r="AI39" i="17" s="1"/>
  <c r="AR38" i="17"/>
  <c r="Z38" i="17"/>
  <c r="CL39" i="17" l="1"/>
  <c r="V39" i="17"/>
  <c r="BQ39" i="17"/>
  <c r="BI39" i="17"/>
  <c r="AU39" i="17" s="1"/>
  <c r="AE39" i="17"/>
  <c r="CK39" i="17"/>
  <c r="AC38" i="17"/>
  <c r="BO38" i="17"/>
  <c r="BN38" i="17"/>
  <c r="AD37" i="17"/>
  <c r="CC38" i="17"/>
  <c r="CI38" i="17" s="1"/>
  <c r="BW39" i="17"/>
  <c r="BV39" i="17"/>
  <c r="CJ37" i="17"/>
  <c r="AS37" i="17" s="1"/>
  <c r="AT37" i="17" s="1"/>
  <c r="Y39" i="17"/>
  <c r="Z39" i="17"/>
  <c r="AZ39" i="17"/>
  <c r="BM39" i="17" s="1"/>
  <c r="AA39" i="17"/>
  <c r="AI40" i="17" s="1"/>
  <c r="AP39" i="17"/>
  <c r="BR39" i="17"/>
  <c r="AR39" i="17"/>
  <c r="AF39" i="17"/>
  <c r="AQ39" i="17"/>
  <c r="CL40" i="17" l="1"/>
  <c r="V40" i="17"/>
  <c r="AE40" i="17"/>
  <c r="BQ40" i="17"/>
  <c r="BI40" i="17"/>
  <c r="AU40" i="17" s="1"/>
  <c r="BO39" i="17"/>
  <c r="BN39" i="17"/>
  <c r="AC39" i="17"/>
  <c r="AD38" i="17"/>
  <c r="CC39" i="17"/>
  <c r="CI39" i="17" s="1"/>
  <c r="AF40" i="17"/>
  <c r="BW40" i="17"/>
  <c r="BV40" i="17"/>
  <c r="AQ40" i="17"/>
  <c r="CJ38" i="17"/>
  <c r="AS38" i="17" s="1"/>
  <c r="AT38" i="17" s="1"/>
  <c r="BR40" i="17"/>
  <c r="AR40" i="17"/>
  <c r="Z40" i="17"/>
  <c r="AZ40" i="17"/>
  <c r="BM40" i="17" s="1"/>
  <c r="AA40" i="17"/>
  <c r="AI41" i="17" s="1"/>
  <c r="Y40" i="17"/>
  <c r="AP40" i="17"/>
  <c r="CL41" i="17" l="1"/>
  <c r="V41" i="17"/>
  <c r="AE41" i="17"/>
  <c r="BQ41" i="17"/>
  <c r="BI41" i="17"/>
  <c r="AU41" i="17" s="1"/>
  <c r="BO40" i="17"/>
  <c r="BN40" i="17"/>
  <c r="AC40" i="17"/>
  <c r="AD39" i="17"/>
  <c r="CC40" i="17"/>
  <c r="CI40" i="17" s="1"/>
  <c r="AF41" i="17"/>
  <c r="BV41" i="17"/>
  <c r="BW41" i="17"/>
  <c r="CJ39" i="17"/>
  <c r="AS39" i="17" s="1"/>
  <c r="AT39" i="17" s="1"/>
  <c r="BS41" i="17"/>
  <c r="AQ41" i="17"/>
  <c r="Y41" i="17"/>
  <c r="AR41" i="17"/>
  <c r="AP41" i="17"/>
  <c r="BR41" i="17"/>
  <c r="Z41" i="17"/>
  <c r="AA41" i="17"/>
  <c r="AI42" i="17" s="1"/>
  <c r="AZ41" i="17"/>
  <c r="BM41" i="17" s="1"/>
  <c r="BL41" i="17" l="1"/>
  <c r="CL42" i="17"/>
  <c r="V42" i="17"/>
  <c r="BQ42" i="17"/>
  <c r="CK42" i="17"/>
  <c r="BI42" i="17"/>
  <c r="AU42" i="17" s="1"/>
  <c r="AE42" i="17"/>
  <c r="BO41" i="17"/>
  <c r="BN41" i="17"/>
  <c r="AC41" i="17"/>
  <c r="AD40" i="17"/>
  <c r="CC41" i="17"/>
  <c r="CI41" i="17" s="1"/>
  <c r="BV42" i="17"/>
  <c r="BW42" i="17"/>
  <c r="CJ40" i="17"/>
  <c r="AS40" i="17" s="1"/>
  <c r="AT40" i="17" s="1"/>
  <c r="AG41" i="17"/>
  <c r="AQ42" i="17"/>
  <c r="BS42" i="17"/>
  <c r="Y42" i="17"/>
  <c r="BR42" i="17"/>
  <c r="AA42" i="17"/>
  <c r="AI43" i="17" s="1"/>
  <c r="Z42" i="17"/>
  <c r="AR42" i="17"/>
  <c r="AF42" i="17"/>
  <c r="AP42" i="17"/>
  <c r="AZ42" i="17"/>
  <c r="BM42" i="17" s="1"/>
  <c r="BL42" i="17" l="1"/>
  <c r="AD41" i="17"/>
  <c r="CL43" i="17"/>
  <c r="V43" i="17"/>
  <c r="CK43" i="17"/>
  <c r="BQ43" i="17"/>
  <c r="BI43" i="17"/>
  <c r="AU43" i="17" s="1"/>
  <c r="AE43" i="17"/>
  <c r="BO42" i="17"/>
  <c r="BN42" i="17"/>
  <c r="AC42" i="17"/>
  <c r="CC42" i="17"/>
  <c r="CI42" i="17" s="1"/>
  <c r="AR43" i="17"/>
  <c r="BV43" i="17"/>
  <c r="BW43" i="17"/>
  <c r="AP43" i="17"/>
  <c r="Y43" i="17"/>
  <c r="AA43" i="17"/>
  <c r="AI44" i="17" s="1"/>
  <c r="AG42" i="17"/>
  <c r="CJ41" i="17"/>
  <c r="AS41" i="17" s="1"/>
  <c r="AT41" i="17" s="1"/>
  <c r="AZ43" i="17"/>
  <c r="BM43" i="17" s="1"/>
  <c r="BR43" i="17"/>
  <c r="Z43" i="17"/>
  <c r="AF43" i="17"/>
  <c r="AQ43" i="17"/>
  <c r="BS43" i="17"/>
  <c r="BL43" i="17" l="1"/>
  <c r="CL44" i="17"/>
  <c r="V44" i="17"/>
  <c r="CK44" i="17"/>
  <c r="BI44" i="17"/>
  <c r="AU44" i="17" s="1"/>
  <c r="AE44" i="17"/>
  <c r="BQ44" i="17"/>
  <c r="AD42" i="17"/>
  <c r="AK41" i="17"/>
  <c r="AL41" i="17" s="1"/>
  <c r="BO43" i="17"/>
  <c r="BN43" i="17"/>
  <c r="AC43" i="17"/>
  <c r="CC43" i="17"/>
  <c r="CI43" i="17" s="1"/>
  <c r="AP44" i="17"/>
  <c r="BV44" i="17"/>
  <c r="BW44" i="17"/>
  <c r="AG43" i="17"/>
  <c r="AA44" i="17"/>
  <c r="AI45" i="17" s="1"/>
  <c r="AZ44" i="17"/>
  <c r="BM44" i="17" s="1"/>
  <c r="AQ44" i="17"/>
  <c r="AR44" i="17"/>
  <c r="CJ42" i="17"/>
  <c r="AS42" i="17" s="1"/>
  <c r="AT42" i="17" s="1"/>
  <c r="BR44" i="17"/>
  <c r="Z44" i="17"/>
  <c r="Y44" i="17"/>
  <c r="BS44" i="17"/>
  <c r="AF44" i="17"/>
  <c r="BL44" i="17" l="1"/>
  <c r="CL45" i="17"/>
  <c r="AZ45" i="17"/>
  <c r="BM45" i="17" s="1"/>
  <c r="BI45" i="17"/>
  <c r="AU45" i="17" s="1"/>
  <c r="CK45" i="17"/>
  <c r="AE45" i="17"/>
  <c r="BQ45" i="17"/>
  <c r="AD43" i="17"/>
  <c r="AK42" i="17"/>
  <c r="AL42" i="17" s="1"/>
  <c r="BN44" i="17"/>
  <c r="AC44" i="17"/>
  <c r="BO44" i="17"/>
  <c r="CC44" i="17"/>
  <c r="CI44" i="17" s="1"/>
  <c r="V45" i="17"/>
  <c r="Y45" i="17"/>
  <c r="AP45" i="17"/>
  <c r="AG44" i="17"/>
  <c r="BV45" i="17"/>
  <c r="BW45" i="17"/>
  <c r="BR45" i="17"/>
  <c r="AF45" i="17"/>
  <c r="Z45" i="17"/>
  <c r="BS45" i="17"/>
  <c r="AQ45" i="17"/>
  <c r="AA45" i="17"/>
  <c r="AI46" i="17" s="1"/>
  <c r="AR45" i="17"/>
  <c r="CJ43" i="17"/>
  <c r="AS43" i="17" s="1"/>
  <c r="AT43" i="17" s="1"/>
  <c r="BL45" i="17" l="1"/>
  <c r="CL46" i="17"/>
  <c r="CK46" i="17"/>
  <c r="BI46" i="17"/>
  <c r="AU46" i="17" s="1"/>
  <c r="AE46" i="17"/>
  <c r="BQ46" i="17"/>
  <c r="AK43" i="17"/>
  <c r="AL43" i="17" s="1"/>
  <c r="BN45" i="17"/>
  <c r="AC45" i="17"/>
  <c r="BO45" i="17"/>
  <c r="AD44" i="17"/>
  <c r="CD45" i="17"/>
  <c r="V46" i="17"/>
  <c r="BR46" i="17"/>
  <c r="BV46" i="17"/>
  <c r="BW46" i="17"/>
  <c r="AG45" i="17"/>
  <c r="Y46" i="17"/>
  <c r="AP46" i="17"/>
  <c r="AF46" i="17"/>
  <c r="AQ46" i="17"/>
  <c r="AA46" i="17"/>
  <c r="AI47" i="17" s="1"/>
  <c r="BS46" i="17"/>
  <c r="Z46" i="17"/>
  <c r="AZ46" i="17"/>
  <c r="BM46" i="17" s="1"/>
  <c r="AR46" i="17"/>
  <c r="CC45" i="17"/>
  <c r="CI45" i="17" s="1"/>
  <c r="CJ44" i="17"/>
  <c r="AS44" i="17" s="1"/>
  <c r="AT44" i="17" s="1"/>
  <c r="BL46" i="17" l="1"/>
  <c r="CL47" i="17"/>
  <c r="AK44" i="17"/>
  <c r="AL44" i="17" s="1"/>
  <c r="AA47" i="17"/>
  <c r="AA49" i="17" s="1"/>
  <c r="AE47" i="17"/>
  <c r="AE49" i="17" s="1"/>
  <c r="BQ47" i="17"/>
  <c r="BI47" i="17"/>
  <c r="AU47" i="17" s="1"/>
  <c r="CK47" i="17"/>
  <c r="AC46" i="17"/>
  <c r="BO46" i="17"/>
  <c r="BN46" i="17"/>
  <c r="AD45" i="17"/>
  <c r="CD46" i="17"/>
  <c r="V47" i="17"/>
  <c r="AR47" i="17"/>
  <c r="Y47" i="17"/>
  <c r="Y49" i="17" s="1"/>
  <c r="AG46" i="17"/>
  <c r="BV47" i="17"/>
  <c r="BV49" i="17" s="1"/>
  <c r="BW47" i="17"/>
  <c r="BR47" i="17"/>
  <c r="BR49" i="17" s="1"/>
  <c r="Z47" i="17"/>
  <c r="Z49" i="17" s="1"/>
  <c r="BS47" i="17"/>
  <c r="CC46" i="17"/>
  <c r="AY49" i="17"/>
  <c r="AF47" i="17"/>
  <c r="AF49" i="17" s="1"/>
  <c r="AZ47" i="17"/>
  <c r="BM47" i="17" s="1"/>
  <c r="BM49" i="17" s="1"/>
  <c r="AP47" i="17"/>
  <c r="AQ47" i="17"/>
  <c r="CJ45" i="17"/>
  <c r="AS45" i="17" s="1"/>
  <c r="BL47" i="17" l="1"/>
  <c r="AH49" i="17"/>
  <c r="AK45" i="17"/>
  <c r="AL45" i="17" s="1"/>
  <c r="AC47" i="17"/>
  <c r="AC49" i="17" s="1"/>
  <c r="BO47" i="17"/>
  <c r="BO49" i="17" s="1"/>
  <c r="BN47" i="17"/>
  <c r="BN49" i="17" s="1"/>
  <c r="AD46" i="17"/>
  <c r="CC47" i="17"/>
  <c r="CC49" i="17" s="1"/>
  <c r="AG47" i="17"/>
  <c r="CI46" i="17"/>
  <c r="CJ46" i="17" s="1"/>
  <c r="AS46" i="17" s="1"/>
  <c r="AT46" i="17" s="1"/>
  <c r="CD47" i="17"/>
  <c r="AZ49" i="17"/>
  <c r="AT45" i="17"/>
  <c r="F80" i="17" l="1"/>
  <c r="AC29" i="20" s="1"/>
  <c r="AB49" i="17"/>
  <c r="E80" i="17" s="1"/>
  <c r="AB29" i="20" s="1"/>
  <c r="AK46" i="17"/>
  <c r="AL46" i="17" s="1"/>
  <c r="AI49" i="17"/>
  <c r="AD47" i="17"/>
  <c r="AD49" i="17" s="1"/>
  <c r="CI47" i="17"/>
  <c r="CJ47" i="17" s="1"/>
  <c r="AS47" i="17" s="1"/>
  <c r="AT47" i="17" s="1"/>
  <c r="AJ49" i="17" l="1"/>
  <c r="AS49" i="17"/>
  <c r="AC44" i="20" s="1"/>
  <c r="P56" i="10"/>
  <c r="AK47" i="17" l="1"/>
  <c r="AL47" i="17" s="1"/>
  <c r="F36" i="10"/>
  <c r="F21" i="9" l="1"/>
  <c r="P47" i="13"/>
  <c r="P47" i="10"/>
  <c r="P47" i="9"/>
  <c r="P57" i="10" l="1"/>
  <c r="P57" i="12"/>
  <c r="P56" i="12"/>
  <c r="P56" i="11"/>
  <c r="P55" i="11"/>
  <c r="P57" i="13"/>
  <c r="P56" i="13"/>
  <c r="G28" i="14"/>
  <c r="G27" i="14"/>
  <c r="E33" i="10"/>
  <c r="F33" i="10" s="1"/>
  <c r="E32" i="10"/>
  <c r="F32" i="10" s="1"/>
  <c r="F46" i="17" l="1"/>
  <c r="F47" i="17"/>
  <c r="F47" i="10"/>
  <c r="F48" i="13"/>
  <c r="F47" i="9"/>
  <c r="F46" i="10"/>
  <c r="F47" i="13"/>
  <c r="F48" i="9"/>
  <c r="F45" i="17" l="1"/>
  <c r="O46" i="17" s="1"/>
  <c r="F46" i="13"/>
  <c r="F46" i="9"/>
  <c r="O46" i="9" s="1"/>
  <c r="F45" i="10"/>
  <c r="O46" i="10" s="1"/>
  <c r="V22" i="20" l="1"/>
  <c r="AE21" i="9"/>
  <c r="AE22" i="9"/>
  <c r="AE23" i="9"/>
  <c r="AE24" i="9"/>
  <c r="AE25" i="9"/>
  <c r="AE26" i="9"/>
  <c r="AE27" i="9"/>
  <c r="AE28" i="9"/>
  <c r="AE29" i="9"/>
  <c r="AE30" i="9"/>
  <c r="AE31" i="9"/>
  <c r="AE32" i="9"/>
  <c r="AE33" i="9"/>
  <c r="AE34" i="9"/>
  <c r="AE35" i="9"/>
  <c r="AE36" i="9"/>
  <c r="AE37" i="9"/>
  <c r="AE38" i="9"/>
  <c r="AE39" i="9"/>
  <c r="AE40" i="9"/>
  <c r="O67" i="17"/>
  <c r="O49" i="17"/>
  <c r="AB23" i="20" s="1"/>
  <c r="AB22" i="20"/>
  <c r="O46" i="13"/>
  <c r="O48" i="10"/>
  <c r="O49" i="10" s="1"/>
  <c r="S23" i="20" s="1"/>
  <c r="G23" i="20" s="1"/>
  <c r="S22" i="20"/>
  <c r="G22" i="20" s="1"/>
  <c r="O66" i="10"/>
  <c r="S24" i="20" s="1"/>
  <c r="G24" i="20" s="1"/>
  <c r="O48" i="9"/>
  <c r="O66" i="9"/>
  <c r="V24" i="20" s="1"/>
  <c r="O48" i="13"/>
  <c r="O48" i="17"/>
  <c r="AG21" i="17"/>
  <c r="AG22" i="17"/>
  <c r="AK22" i="17" s="1"/>
  <c r="AL22" i="17" s="1"/>
  <c r="AG23" i="17"/>
  <c r="AK23" i="17" s="1"/>
  <c r="AL23" i="17" s="1"/>
  <c r="AG24" i="17"/>
  <c r="AK24" i="17" s="1"/>
  <c r="AL24" i="17" s="1"/>
  <c r="AG25" i="17"/>
  <c r="AK25" i="17" s="1"/>
  <c r="AL25" i="17" s="1"/>
  <c r="AG26" i="17"/>
  <c r="AK26" i="17" s="1"/>
  <c r="AL26" i="17" s="1"/>
  <c r="AG27" i="17"/>
  <c r="AK27" i="17" s="1"/>
  <c r="AL27" i="17" s="1"/>
  <c r="AG28" i="17"/>
  <c r="AK28" i="17" s="1"/>
  <c r="AL28" i="17" s="1"/>
  <c r="AG29" i="17"/>
  <c r="AK29" i="17" s="1"/>
  <c r="AL29" i="17" s="1"/>
  <c r="AG30" i="17"/>
  <c r="AK30" i="17" s="1"/>
  <c r="AL30" i="17" s="1"/>
  <c r="AG31" i="17"/>
  <c r="AK31" i="17" s="1"/>
  <c r="AL31" i="17" s="1"/>
  <c r="AG32" i="17"/>
  <c r="AK32" i="17" s="1"/>
  <c r="AL32" i="17" s="1"/>
  <c r="AG33" i="17"/>
  <c r="AK33" i="17" s="1"/>
  <c r="AL33" i="17" s="1"/>
  <c r="AG34" i="17"/>
  <c r="AK34" i="17" s="1"/>
  <c r="AL34" i="17" s="1"/>
  <c r="AG35" i="17"/>
  <c r="AK35" i="17" s="1"/>
  <c r="AL35" i="17" s="1"/>
  <c r="AG36" i="17"/>
  <c r="AK36" i="17" s="1"/>
  <c r="AL36" i="17" s="1"/>
  <c r="AG37" i="17"/>
  <c r="AK37" i="17" s="1"/>
  <c r="AL37" i="17" s="1"/>
  <c r="AG38" i="17"/>
  <c r="AK38" i="17" s="1"/>
  <c r="AL38" i="17" s="1"/>
  <c r="AG39" i="17"/>
  <c r="AK39" i="17" s="1"/>
  <c r="AL39" i="17" s="1"/>
  <c r="AG40" i="17"/>
  <c r="AK40" i="17" s="1"/>
  <c r="AL40" i="17" s="1"/>
  <c r="G23" i="14"/>
  <c r="G20" i="14"/>
  <c r="G17" i="14"/>
  <c r="G14" i="14"/>
  <c r="G11" i="14"/>
  <c r="AE49" i="9" l="1"/>
  <c r="O68" i="17"/>
  <c r="AB24" i="20"/>
  <c r="P22" i="20"/>
  <c r="O66" i="13"/>
  <c r="O49" i="13"/>
  <c r="P23" i="20" s="1"/>
  <c r="AG49" i="17"/>
  <c r="AK21" i="17"/>
  <c r="AK49" i="17" s="1"/>
  <c r="I31" i="14"/>
  <c r="F66" i="12"/>
  <c r="P32" i="12" s="1"/>
  <c r="G26" i="14"/>
  <c r="P24" i="20" l="1"/>
  <c r="O67" i="13"/>
  <c r="P34" i="12"/>
  <c r="P33" i="12"/>
  <c r="AT20" i="12" s="1"/>
  <c r="F66" i="17"/>
  <c r="P32" i="17" s="1"/>
  <c r="AL21" i="17"/>
  <c r="J33" i="14"/>
  <c r="H32" i="14"/>
  <c r="F67" i="13" s="1"/>
  <c r="P46" i="13" s="1"/>
  <c r="Q22" i="20" s="1"/>
  <c r="I32" i="14"/>
  <c r="F66" i="13"/>
  <c r="P32" i="13" s="1"/>
  <c r="P33" i="13" s="1"/>
  <c r="AT20" i="13" s="1"/>
  <c r="F66" i="9"/>
  <c r="P32" i="9" s="1"/>
  <c r="F66" i="10"/>
  <c r="P32" i="10" s="1"/>
  <c r="F66" i="11"/>
  <c r="P32" i="11" s="1"/>
  <c r="BH20" i="13" l="1"/>
  <c r="AT49" i="13"/>
  <c r="BH20" i="12"/>
  <c r="AT49" i="12"/>
  <c r="BX18" i="12"/>
  <c r="BQ18" i="12"/>
  <c r="BQ19" i="12"/>
  <c r="BX19" i="12"/>
  <c r="BQ20" i="12"/>
  <c r="AK20" i="12" s="1"/>
  <c r="BX20" i="12"/>
  <c r="BQ21" i="12"/>
  <c r="BU21" i="12" s="1"/>
  <c r="BX21" i="12"/>
  <c r="BX22" i="12"/>
  <c r="BQ22" i="12"/>
  <c r="BU22" i="12" s="1"/>
  <c r="BQ23" i="12"/>
  <c r="BU23" i="12" s="1"/>
  <c r="BX23" i="12"/>
  <c r="BX24" i="12"/>
  <c r="BQ24" i="12"/>
  <c r="BU24" i="12" s="1"/>
  <c r="BQ25" i="12"/>
  <c r="BU25" i="12" s="1"/>
  <c r="BX25" i="12"/>
  <c r="BX26" i="12"/>
  <c r="BQ26" i="12"/>
  <c r="BU26" i="12" s="1"/>
  <c r="BX27" i="12"/>
  <c r="BQ27" i="12"/>
  <c r="BU27" i="12" s="1"/>
  <c r="BX28" i="12"/>
  <c r="BQ28" i="12"/>
  <c r="BU28" i="12" s="1"/>
  <c r="BX29" i="12"/>
  <c r="BQ29" i="12"/>
  <c r="BU29" i="12" s="1"/>
  <c r="BX30" i="12"/>
  <c r="BQ30" i="12"/>
  <c r="BU30" i="12" s="1"/>
  <c r="BQ31" i="12"/>
  <c r="BU31" i="12" s="1"/>
  <c r="BX31" i="12"/>
  <c r="BQ32" i="12"/>
  <c r="BU32" i="12" s="1"/>
  <c r="BX32" i="12"/>
  <c r="BX33" i="12"/>
  <c r="BQ33" i="12"/>
  <c r="BU33" i="12" s="1"/>
  <c r="BQ34" i="12"/>
  <c r="BU34" i="12" s="1"/>
  <c r="BX34" i="12"/>
  <c r="BQ35" i="12"/>
  <c r="BU35" i="12" s="1"/>
  <c r="BX35" i="12"/>
  <c r="BQ36" i="12"/>
  <c r="BU36" i="12" s="1"/>
  <c r="BX36" i="12"/>
  <c r="BQ37" i="12"/>
  <c r="BU37" i="12" s="1"/>
  <c r="BX37" i="12"/>
  <c r="BQ38" i="12"/>
  <c r="BU38" i="12" s="1"/>
  <c r="BX38" i="12"/>
  <c r="BX39" i="12"/>
  <c r="BQ39" i="12"/>
  <c r="BU39" i="12" s="1"/>
  <c r="BQ40" i="12"/>
  <c r="BU40" i="12" s="1"/>
  <c r="BX40" i="12"/>
  <c r="BQ41" i="12"/>
  <c r="BU41" i="12" s="1"/>
  <c r="BX41" i="12"/>
  <c r="BQ42" i="12"/>
  <c r="BU42" i="12" s="1"/>
  <c r="BX42" i="12"/>
  <c r="BX43" i="12"/>
  <c r="BQ43" i="12"/>
  <c r="BU43" i="12" s="1"/>
  <c r="BQ44" i="12"/>
  <c r="BU44" i="12" s="1"/>
  <c r="BX44" i="12"/>
  <c r="BX45" i="12"/>
  <c r="BQ45" i="12"/>
  <c r="BU45" i="12" s="1"/>
  <c r="BQ46" i="12"/>
  <c r="BU46" i="12" s="1"/>
  <c r="BX46" i="12"/>
  <c r="BQ47" i="12"/>
  <c r="BX47" i="12"/>
  <c r="P86" i="17"/>
  <c r="P88" i="17" s="1"/>
  <c r="P33" i="17" s="1"/>
  <c r="AL49" i="17"/>
  <c r="AB53" i="20" s="1"/>
  <c r="P33" i="9"/>
  <c r="AT20" i="9" s="1"/>
  <c r="P34" i="9"/>
  <c r="P35" i="12"/>
  <c r="P34" i="11"/>
  <c r="P33" i="11"/>
  <c r="P33" i="10"/>
  <c r="P34" i="10"/>
  <c r="CA20" i="10" s="1"/>
  <c r="P48" i="13"/>
  <c r="F27" i="10"/>
  <c r="F27" i="11"/>
  <c r="F27" i="12"/>
  <c r="F67" i="17"/>
  <c r="P46" i="17" s="1"/>
  <c r="F27" i="9"/>
  <c r="F27" i="17"/>
  <c r="P25" i="17" s="1"/>
  <c r="BG18" i="17" s="1"/>
  <c r="F27" i="13"/>
  <c r="F67" i="10"/>
  <c r="F67" i="9"/>
  <c r="P35" i="11" l="1"/>
  <c r="AT20" i="11"/>
  <c r="AU20" i="11"/>
  <c r="BI20" i="11" s="1"/>
  <c r="BX18" i="11"/>
  <c r="BQ19" i="11"/>
  <c r="BX20" i="11"/>
  <c r="AU19" i="11"/>
  <c r="BQ20" i="11"/>
  <c r="AK20" i="11" s="1"/>
  <c r="AU18" i="11"/>
  <c r="AV19" i="11"/>
  <c r="BJ19" i="11" s="1"/>
  <c r="AV18" i="11"/>
  <c r="AV20" i="11"/>
  <c r="BJ20" i="11" s="1"/>
  <c r="BX19" i="11"/>
  <c r="BQ18" i="11"/>
  <c r="BX21" i="11"/>
  <c r="AV21" i="11"/>
  <c r="BJ21" i="11" s="1"/>
  <c r="BQ21" i="11"/>
  <c r="AU21" i="11"/>
  <c r="BX22" i="11"/>
  <c r="BQ22" i="11"/>
  <c r="AV22" i="11"/>
  <c r="BJ22" i="11" s="1"/>
  <c r="AU22" i="11"/>
  <c r="AU23" i="11"/>
  <c r="AV23" i="11"/>
  <c r="BJ23" i="11" s="1"/>
  <c r="BQ23" i="11"/>
  <c r="BX23" i="11"/>
  <c r="AU24" i="11"/>
  <c r="BQ24" i="11"/>
  <c r="BX24" i="11"/>
  <c r="AV24" i="11"/>
  <c r="BJ24" i="11" s="1"/>
  <c r="BQ25" i="11"/>
  <c r="AV25" i="11"/>
  <c r="BJ25" i="11" s="1"/>
  <c r="AU25" i="11"/>
  <c r="BX25" i="11"/>
  <c r="AU26" i="11"/>
  <c r="BX26" i="11"/>
  <c r="AV26" i="11"/>
  <c r="BJ26" i="11" s="1"/>
  <c r="BQ26" i="11"/>
  <c r="BQ27" i="11"/>
  <c r="AV27" i="11"/>
  <c r="BJ27" i="11" s="1"/>
  <c r="BX27" i="11"/>
  <c r="AU27" i="11"/>
  <c r="BQ28" i="11"/>
  <c r="AU28" i="11"/>
  <c r="AV28" i="11"/>
  <c r="BJ28" i="11" s="1"/>
  <c r="BX28" i="11"/>
  <c r="BX29" i="11"/>
  <c r="BQ29" i="11"/>
  <c r="AV29" i="11"/>
  <c r="BJ29" i="11" s="1"/>
  <c r="AU29" i="11"/>
  <c r="AV30" i="11"/>
  <c r="BJ30" i="11" s="1"/>
  <c r="BX30" i="11"/>
  <c r="AU30" i="11"/>
  <c r="BQ30" i="11"/>
  <c r="BX31" i="11"/>
  <c r="AV31" i="11"/>
  <c r="BJ31" i="11" s="1"/>
  <c r="AU31" i="11"/>
  <c r="BQ31" i="11"/>
  <c r="AV32" i="11"/>
  <c r="BJ32" i="11" s="1"/>
  <c r="BQ32" i="11"/>
  <c r="BX32" i="11"/>
  <c r="AU32" i="11"/>
  <c r="BQ33" i="11"/>
  <c r="BX33" i="11"/>
  <c r="AU33" i="11"/>
  <c r="AV33" i="11"/>
  <c r="BJ33" i="11" s="1"/>
  <c r="BQ34" i="11"/>
  <c r="AV34" i="11"/>
  <c r="BJ34" i="11" s="1"/>
  <c r="AU34" i="11"/>
  <c r="BX34" i="11"/>
  <c r="AU35" i="11"/>
  <c r="BX35" i="11"/>
  <c r="AV35" i="11"/>
  <c r="BJ35" i="11" s="1"/>
  <c r="BQ35" i="11"/>
  <c r="BX36" i="11"/>
  <c r="BQ36" i="11"/>
  <c r="AU36" i="11"/>
  <c r="AV36" i="11"/>
  <c r="BJ36" i="11" s="1"/>
  <c r="AV37" i="11"/>
  <c r="BJ37" i="11" s="1"/>
  <c r="AU37" i="11"/>
  <c r="BQ37" i="11"/>
  <c r="BX37" i="11"/>
  <c r="AV38" i="11"/>
  <c r="BJ38" i="11" s="1"/>
  <c r="BQ38" i="11"/>
  <c r="BX38" i="11"/>
  <c r="AU38" i="11"/>
  <c r="BX39" i="11"/>
  <c r="AU39" i="11"/>
  <c r="BQ39" i="11"/>
  <c r="AV39" i="11"/>
  <c r="BJ39" i="11" s="1"/>
  <c r="BQ40" i="11"/>
  <c r="BX40" i="11"/>
  <c r="AV40" i="11"/>
  <c r="BJ40" i="11" s="1"/>
  <c r="AU40" i="11"/>
  <c r="BQ41" i="11"/>
  <c r="BX41" i="11"/>
  <c r="AU41" i="11"/>
  <c r="AV41" i="11"/>
  <c r="BJ41" i="11" s="1"/>
  <c r="BQ42" i="11"/>
  <c r="AU42" i="11"/>
  <c r="BX42" i="11"/>
  <c r="AV42" i="11"/>
  <c r="BJ42" i="11" s="1"/>
  <c r="BQ43" i="11"/>
  <c r="AV43" i="11"/>
  <c r="BJ43" i="11" s="1"/>
  <c r="AU43" i="11"/>
  <c r="BX43" i="11"/>
  <c r="AV44" i="11"/>
  <c r="BJ44" i="11" s="1"/>
  <c r="AU44" i="11"/>
  <c r="BX44" i="11"/>
  <c r="BQ44" i="11"/>
  <c r="BX45" i="11"/>
  <c r="BQ45" i="11"/>
  <c r="AU45" i="11"/>
  <c r="AV45" i="11"/>
  <c r="BJ45" i="11" s="1"/>
  <c r="BX46" i="11"/>
  <c r="AU46" i="11"/>
  <c r="BQ46" i="11"/>
  <c r="AV46" i="11"/>
  <c r="BJ46" i="11" s="1"/>
  <c r="BX47" i="11"/>
  <c r="BQ47" i="11"/>
  <c r="AV47" i="11"/>
  <c r="BJ47" i="11" s="1"/>
  <c r="AU47" i="11"/>
  <c r="BN20" i="13"/>
  <c r="BH49" i="13"/>
  <c r="CE20" i="9"/>
  <c r="CE49" i="9" s="1"/>
  <c r="BH20" i="9"/>
  <c r="BH49" i="9" s="1"/>
  <c r="AT49" i="9"/>
  <c r="BQ49" i="12"/>
  <c r="BU47" i="12"/>
  <c r="BU19" i="12"/>
  <c r="AK19" i="12"/>
  <c r="AK18" i="12"/>
  <c r="K15" i="20"/>
  <c r="BO20" i="12"/>
  <c r="BH49" i="12"/>
  <c r="P94" i="17"/>
  <c r="P35" i="17"/>
  <c r="P34" i="17"/>
  <c r="BS25" i="17"/>
  <c r="AC22" i="20"/>
  <c r="P49" i="17"/>
  <c r="AC23" i="20" s="1"/>
  <c r="AC24" i="20" s="1"/>
  <c r="P35" i="9"/>
  <c r="P49" i="13"/>
  <c r="Q23" i="20" s="1"/>
  <c r="Q24" i="20" s="1"/>
  <c r="BS31" i="17"/>
  <c r="BS22" i="17"/>
  <c r="BS21" i="17"/>
  <c r="P48" i="17"/>
  <c r="BS38" i="17"/>
  <c r="BS37" i="17"/>
  <c r="BS36" i="17"/>
  <c r="BS35" i="17"/>
  <c r="BS34" i="17"/>
  <c r="BS33" i="17"/>
  <c r="BS32" i="17"/>
  <c r="BS30" i="17"/>
  <c r="BS24" i="17"/>
  <c r="BS23" i="17"/>
  <c r="BS29" i="17"/>
  <c r="BS28" i="17"/>
  <c r="BS27" i="17"/>
  <c r="BS40" i="17"/>
  <c r="BS26" i="17"/>
  <c r="BS39" i="17"/>
  <c r="BG19" i="17"/>
  <c r="AN18" i="17"/>
  <c r="O139" i="13"/>
  <c r="O138" i="13"/>
  <c r="O136" i="13"/>
  <c r="E86" i="13"/>
  <c r="P60" i="13"/>
  <c r="P40" i="13"/>
  <c r="O25" i="13"/>
  <c r="BF18" i="13" s="1"/>
  <c r="F21" i="13"/>
  <c r="F22" i="13" s="1"/>
  <c r="F23" i="13" s="1"/>
  <c r="O17" i="13"/>
  <c r="K16" i="20" l="1"/>
  <c r="BQ49" i="11"/>
  <c r="BU47" i="11"/>
  <c r="AK47" i="11"/>
  <c r="BI44" i="11"/>
  <c r="BN44" i="11" s="1"/>
  <c r="AK38" i="11"/>
  <c r="BU38" i="11"/>
  <c r="BU32" i="11"/>
  <c r="AK32" i="11"/>
  <c r="AK29" i="11"/>
  <c r="BU29" i="11"/>
  <c r="BU41" i="11"/>
  <c r="AK41" i="11"/>
  <c r="BI35" i="11"/>
  <c r="BN35" i="11" s="1"/>
  <c r="BI26" i="11"/>
  <c r="BN26" i="11" s="1"/>
  <c r="BI23" i="11"/>
  <c r="BN23" i="11" s="1"/>
  <c r="BJ18" i="11"/>
  <c r="BJ49" i="11" s="1"/>
  <c r="AV49" i="11"/>
  <c r="BI40" i="11"/>
  <c r="BN40" i="11" s="1"/>
  <c r="BV40" i="11" s="1"/>
  <c r="BY40" i="11" s="1"/>
  <c r="BU31" i="11"/>
  <c r="AK31" i="11"/>
  <c r="BI22" i="11"/>
  <c r="BN22" i="11" s="1"/>
  <c r="AK37" i="11"/>
  <c r="BU37" i="11"/>
  <c r="BI34" i="11"/>
  <c r="BN34" i="11" s="1"/>
  <c r="BV34" i="11" s="1"/>
  <c r="BY34" i="11" s="1"/>
  <c r="BI31" i="11"/>
  <c r="BN31" i="11" s="1"/>
  <c r="BV31" i="11" s="1"/>
  <c r="BY31" i="11" s="1"/>
  <c r="BI25" i="11"/>
  <c r="BN25" i="11" s="1"/>
  <c r="BI18" i="11"/>
  <c r="AU49" i="11"/>
  <c r="BI37" i="11"/>
  <c r="BN37" i="11" s="1"/>
  <c r="BV37" i="11" s="1"/>
  <c r="BY37" i="11" s="1"/>
  <c r="BI28" i="11"/>
  <c r="BN28" i="11" s="1"/>
  <c r="BU22" i="11"/>
  <c r="AK22" i="11"/>
  <c r="BI43" i="11"/>
  <c r="BN43" i="11" s="1"/>
  <c r="BV43" i="11" s="1"/>
  <c r="BY43" i="11" s="1"/>
  <c r="BU43" i="11"/>
  <c r="AK43" i="11"/>
  <c r="BU40" i="11"/>
  <c r="AK40" i="11"/>
  <c r="BU34" i="11"/>
  <c r="AK34" i="11"/>
  <c r="AK28" i="11"/>
  <c r="BU28" i="11"/>
  <c r="AK25" i="11"/>
  <c r="BU25" i="11"/>
  <c r="BI19" i="11"/>
  <c r="BN19" i="11" s="1"/>
  <c r="BV19" i="11" s="1"/>
  <c r="BI46" i="11"/>
  <c r="BN46" i="11" s="1"/>
  <c r="BV46" i="11" s="1"/>
  <c r="BY46" i="11" s="1"/>
  <c r="BU30" i="11"/>
  <c r="AK30" i="11"/>
  <c r="BI27" i="11"/>
  <c r="BN27" i="11" s="1"/>
  <c r="BV27" i="11" s="1"/>
  <c r="BY27" i="11" s="1"/>
  <c r="BI21" i="11"/>
  <c r="BN21" i="11" s="1"/>
  <c r="BI45" i="11"/>
  <c r="BN45" i="11" s="1"/>
  <c r="BU39" i="11"/>
  <c r="AK39" i="11"/>
  <c r="BI36" i="11"/>
  <c r="BN36" i="11" s="1"/>
  <c r="BV36" i="11" s="1"/>
  <c r="BY36" i="11" s="1"/>
  <c r="BI33" i="11"/>
  <c r="BN33" i="11" s="1"/>
  <c r="BI30" i="11"/>
  <c r="BN30" i="11" s="1"/>
  <c r="BV30" i="11" s="1"/>
  <c r="BY30" i="11" s="1"/>
  <c r="BU21" i="11"/>
  <c r="AK21" i="11"/>
  <c r="BU19" i="11"/>
  <c r="AK19" i="11"/>
  <c r="AK45" i="11"/>
  <c r="BU45" i="11"/>
  <c r="BI42" i="11"/>
  <c r="BN42" i="11" s="1"/>
  <c r="BI39" i="11"/>
  <c r="BN39" i="11" s="1"/>
  <c r="BU36" i="11"/>
  <c r="AK36" i="11"/>
  <c r="BU24" i="11"/>
  <c r="AK24" i="11"/>
  <c r="BN49" i="13"/>
  <c r="AK42" i="11"/>
  <c r="BU42" i="11"/>
  <c r="AK33" i="11"/>
  <c r="BU33" i="11"/>
  <c r="AK27" i="11"/>
  <c r="BU27" i="11"/>
  <c r="BI24" i="11"/>
  <c r="BN24" i="11" s="1"/>
  <c r="BV24" i="11" s="1"/>
  <c r="BY24" i="11" s="1"/>
  <c r="BU46" i="11"/>
  <c r="AK46" i="11"/>
  <c r="BI47" i="11"/>
  <c r="BU44" i="11"/>
  <c r="AK44" i="11"/>
  <c r="BI38" i="11"/>
  <c r="BN38" i="11" s="1"/>
  <c r="BV38" i="11" s="1"/>
  <c r="BY38" i="11" s="1"/>
  <c r="BU35" i="11"/>
  <c r="AK35" i="11"/>
  <c r="BI32" i="11"/>
  <c r="BN32" i="11" s="1"/>
  <c r="BV32" i="11" s="1"/>
  <c r="BY32" i="11" s="1"/>
  <c r="BI29" i="11"/>
  <c r="BN29" i="11" s="1"/>
  <c r="BV29" i="11" s="1"/>
  <c r="BY29" i="11" s="1"/>
  <c r="BU26" i="11"/>
  <c r="AK26" i="11"/>
  <c r="BU18" i="11"/>
  <c r="AK18" i="11"/>
  <c r="BH20" i="11"/>
  <c r="AT49" i="11"/>
  <c r="BI41" i="11"/>
  <c r="BN41" i="11" s="1"/>
  <c r="BV41" i="11" s="1"/>
  <c r="BY41" i="11" s="1"/>
  <c r="BU23" i="11"/>
  <c r="AK23" i="11"/>
  <c r="N15" i="20"/>
  <c r="BO20" i="11"/>
  <c r="W15" i="20"/>
  <c r="W16" i="20" s="1"/>
  <c r="BO20" i="9"/>
  <c r="BO49" i="9" s="1"/>
  <c r="BU20" i="12"/>
  <c r="BO49" i="12"/>
  <c r="AX33" i="17"/>
  <c r="AX32" i="17"/>
  <c r="AX31" i="17"/>
  <c r="AX30" i="17"/>
  <c r="BL30" i="17" s="1"/>
  <c r="AX29" i="17"/>
  <c r="AX27" i="17"/>
  <c r="AX26" i="17"/>
  <c r="AX39" i="17"/>
  <c r="AX38" i="17"/>
  <c r="AX23" i="17"/>
  <c r="BL23" i="17" s="1"/>
  <c r="AX36" i="17"/>
  <c r="AX21" i="17"/>
  <c r="AX40" i="17"/>
  <c r="BL40" i="17" s="1"/>
  <c r="AX28" i="17"/>
  <c r="AX25" i="17"/>
  <c r="AX24" i="17"/>
  <c r="AX37" i="17"/>
  <c r="AX22" i="17"/>
  <c r="AX35" i="17"/>
  <c r="BL35" i="17" s="1"/>
  <c r="AX34" i="17"/>
  <c r="BL34" i="17" s="1"/>
  <c r="BF19" i="13"/>
  <c r="AM18" i="13"/>
  <c r="BL31" i="17"/>
  <c r="BL29" i="17"/>
  <c r="BL28" i="17"/>
  <c r="BL24" i="17"/>
  <c r="O140" i="13"/>
  <c r="O141" i="13" s="1"/>
  <c r="BL25" i="17"/>
  <c r="BL27" i="17"/>
  <c r="BL26" i="17"/>
  <c r="BL22" i="17"/>
  <c r="BL39" i="17"/>
  <c r="BL38" i="17"/>
  <c r="BL37" i="17"/>
  <c r="BL36" i="17"/>
  <c r="BL33" i="17"/>
  <c r="BL32" i="17"/>
  <c r="BS49" i="17"/>
  <c r="BG20" i="17"/>
  <c r="AN19" i="17"/>
  <c r="O137" i="13"/>
  <c r="P59" i="13"/>
  <c r="P77" i="13"/>
  <c r="P78" i="13" s="1"/>
  <c r="O77" i="13"/>
  <c r="O78" i="13" s="1"/>
  <c r="O139" i="12"/>
  <c r="O138" i="12"/>
  <c r="O136" i="12"/>
  <c r="BS18" i="12" s="1"/>
  <c r="E86" i="12"/>
  <c r="O140" i="12"/>
  <c r="P60" i="12"/>
  <c r="O25" i="12"/>
  <c r="BF18" i="12" s="1"/>
  <c r="F21" i="12"/>
  <c r="F22" i="12" s="1"/>
  <c r="F23" i="12" s="1"/>
  <c r="O17" i="12"/>
  <c r="O139" i="11"/>
  <c r="O138" i="11"/>
  <c r="O136" i="11"/>
  <c r="E86" i="11"/>
  <c r="P59" i="11"/>
  <c r="O25" i="11"/>
  <c r="BF18" i="11" s="1"/>
  <c r="F21" i="11"/>
  <c r="F22" i="11" s="1"/>
  <c r="F23" i="11" s="1"/>
  <c r="O17" i="11"/>
  <c r="O141" i="10"/>
  <c r="O140" i="10"/>
  <c r="O138" i="10"/>
  <c r="P128" i="10"/>
  <c r="P125" i="10"/>
  <c r="P124" i="10"/>
  <c r="P120" i="10"/>
  <c r="P119" i="10"/>
  <c r="P100" i="10"/>
  <c r="P107" i="10" s="1"/>
  <c r="P115" i="10"/>
  <c r="P97" i="10"/>
  <c r="P114" i="10"/>
  <c r="P96" i="10"/>
  <c r="P87" i="10"/>
  <c r="P60" i="10"/>
  <c r="P46" i="10"/>
  <c r="O32" i="10"/>
  <c r="O25" i="10"/>
  <c r="BF18" i="10" s="1"/>
  <c r="BF19" i="10" s="1"/>
  <c r="BF20" i="10" s="1"/>
  <c r="BF21" i="10" s="1"/>
  <c r="BF22" i="10" s="1"/>
  <c r="BF23" i="10" s="1"/>
  <c r="BF24" i="10" s="1"/>
  <c r="BF25" i="10" s="1"/>
  <c r="BF26" i="10" s="1"/>
  <c r="BF27" i="10" s="1"/>
  <c r="BF28" i="10" s="1"/>
  <c r="BF29" i="10" s="1"/>
  <c r="BF30" i="10" s="1"/>
  <c r="BF31" i="10" s="1"/>
  <c r="BF32" i="10" s="1"/>
  <c r="BF33" i="10" s="1"/>
  <c r="BF34" i="10" s="1"/>
  <c r="BF35" i="10" s="1"/>
  <c r="BF36" i="10" s="1"/>
  <c r="BF37" i="10" s="1"/>
  <c r="BF38" i="10" s="1"/>
  <c r="BF39" i="10" s="1"/>
  <c r="BF40" i="10" s="1"/>
  <c r="BF41" i="10" s="1"/>
  <c r="BF42" i="10" s="1"/>
  <c r="BF43" i="10" s="1"/>
  <c r="BF44" i="10" s="1"/>
  <c r="BF45" i="10" s="1"/>
  <c r="BF46" i="10" s="1"/>
  <c r="BF47" i="10" s="1"/>
  <c r="F21" i="10"/>
  <c r="F22" i="10" s="1"/>
  <c r="F23" i="10" s="1"/>
  <c r="O18" i="10"/>
  <c r="O141" i="9"/>
  <c r="O140" i="9"/>
  <c r="O138" i="9"/>
  <c r="BS18" i="9" s="1"/>
  <c r="BS49" i="9" s="1"/>
  <c r="P128" i="9"/>
  <c r="P125" i="9"/>
  <c r="P124" i="9"/>
  <c r="P120" i="9"/>
  <c r="P119" i="9"/>
  <c r="P99" i="9"/>
  <c r="P115" i="9"/>
  <c r="P96" i="9"/>
  <c r="P114" i="9"/>
  <c r="P95" i="9"/>
  <c r="P86" i="9"/>
  <c r="AE12" i="9" s="1"/>
  <c r="P60" i="9"/>
  <c r="P57" i="9"/>
  <c r="P56" i="9"/>
  <c r="P46" i="9"/>
  <c r="O25" i="9"/>
  <c r="BF18" i="9" s="1"/>
  <c r="F22" i="9"/>
  <c r="F23" i="9" s="1"/>
  <c r="O17" i="9"/>
  <c r="N16" i="20" l="1"/>
  <c r="BN18" i="11"/>
  <c r="BN20" i="11"/>
  <c r="BH49" i="11"/>
  <c r="BV42" i="11"/>
  <c r="BY42" i="11" s="1"/>
  <c r="AK49" i="11"/>
  <c r="BV25" i="11"/>
  <c r="BY25" i="11" s="1"/>
  <c r="BU20" i="11"/>
  <c r="BO49" i="11"/>
  <c r="BI49" i="11"/>
  <c r="BN47" i="11"/>
  <c r="BV47" i="11" s="1"/>
  <c r="BY47" i="11" s="1"/>
  <c r="BV45" i="11"/>
  <c r="BY45" i="11" s="1"/>
  <c r="BV23" i="11"/>
  <c r="BY23" i="11" s="1"/>
  <c r="BV21" i="11"/>
  <c r="BY21" i="11" s="1"/>
  <c r="BV28" i="11"/>
  <c r="BY28" i="11" s="1"/>
  <c r="Q35" i="20"/>
  <c r="AO20" i="13"/>
  <c r="AO49" i="13" s="1"/>
  <c r="BV26" i="11"/>
  <c r="BY26" i="11" s="1"/>
  <c r="BV44" i="11"/>
  <c r="BY44" i="11" s="1"/>
  <c r="BV22" i="11"/>
  <c r="BY22" i="11" s="1"/>
  <c r="BV35" i="11"/>
  <c r="BY35" i="11" s="1"/>
  <c r="BU49" i="11"/>
  <c r="BV39" i="11"/>
  <c r="BY39" i="11" s="1"/>
  <c r="BV33" i="11"/>
  <c r="BY33" i="11" s="1"/>
  <c r="CD18" i="9"/>
  <c r="CD19" i="9"/>
  <c r="CD20" i="9"/>
  <c r="CD21" i="9"/>
  <c r="CD22" i="9"/>
  <c r="CD23" i="9"/>
  <c r="CD24" i="9"/>
  <c r="CD25" i="9"/>
  <c r="CD26" i="9"/>
  <c r="CD27" i="9"/>
  <c r="CD28" i="9"/>
  <c r="CD29" i="9"/>
  <c r="CD30" i="9"/>
  <c r="CD31" i="9"/>
  <c r="CD32" i="9"/>
  <c r="CD33" i="9"/>
  <c r="CD34" i="9"/>
  <c r="CD35" i="9"/>
  <c r="CD36" i="9"/>
  <c r="CD37" i="9"/>
  <c r="CD38" i="9"/>
  <c r="CD39" i="9"/>
  <c r="CD40" i="9"/>
  <c r="CD41" i="9"/>
  <c r="CD42" i="9"/>
  <c r="CD43" i="9"/>
  <c r="CD44" i="9"/>
  <c r="CD45" i="9"/>
  <c r="CD46" i="9"/>
  <c r="CD47" i="9"/>
  <c r="CF46" i="9"/>
  <c r="CF32" i="9"/>
  <c r="CF18" i="9"/>
  <c r="CF42" i="9"/>
  <c r="CF27" i="9"/>
  <c r="CF26" i="9"/>
  <c r="CF39" i="9"/>
  <c r="CF24" i="9"/>
  <c r="CF22" i="9"/>
  <c r="CF21" i="9"/>
  <c r="CF20" i="9"/>
  <c r="CF19" i="9"/>
  <c r="CF45" i="9"/>
  <c r="CF31" i="9"/>
  <c r="CF28" i="9"/>
  <c r="CF40" i="9"/>
  <c r="CF38" i="9"/>
  <c r="CF37" i="9"/>
  <c r="CF35" i="9"/>
  <c r="CF44" i="9"/>
  <c r="CF30" i="9"/>
  <c r="CF41" i="9"/>
  <c r="CF25" i="9"/>
  <c r="CF36" i="9"/>
  <c r="CF47" i="9"/>
  <c r="CF43" i="9"/>
  <c r="CF29" i="9"/>
  <c r="CF23" i="9"/>
  <c r="CF34" i="9"/>
  <c r="CF33" i="9"/>
  <c r="BR18" i="9"/>
  <c r="BR19" i="9"/>
  <c r="BR20" i="9"/>
  <c r="BR21" i="9"/>
  <c r="BR22" i="9"/>
  <c r="BR23" i="9"/>
  <c r="BR24" i="9"/>
  <c r="BR25" i="9"/>
  <c r="BR26" i="9"/>
  <c r="BR27" i="9"/>
  <c r="BR28" i="9"/>
  <c r="BR29" i="9"/>
  <c r="BR30" i="9"/>
  <c r="BR31" i="9"/>
  <c r="BR32" i="9"/>
  <c r="BR33" i="9"/>
  <c r="BR34" i="9"/>
  <c r="BR35" i="9"/>
  <c r="BR36" i="9"/>
  <c r="BR37" i="9"/>
  <c r="BR38" i="9"/>
  <c r="BR39" i="9"/>
  <c r="BR40" i="9"/>
  <c r="BR41" i="9"/>
  <c r="BR42" i="9"/>
  <c r="BR43" i="9"/>
  <c r="BR44" i="9"/>
  <c r="BR45" i="9"/>
  <c r="BR46" i="9"/>
  <c r="BR47" i="9"/>
  <c r="BP21" i="9"/>
  <c r="BP22" i="9"/>
  <c r="BP23" i="9"/>
  <c r="BP24" i="9"/>
  <c r="BP25" i="9"/>
  <c r="BP26" i="9"/>
  <c r="BP27" i="9"/>
  <c r="BP28" i="9"/>
  <c r="BP29" i="9"/>
  <c r="BP30" i="9"/>
  <c r="BP31" i="9"/>
  <c r="BP32" i="9"/>
  <c r="BP33" i="9"/>
  <c r="BP34" i="9"/>
  <c r="BP35" i="9"/>
  <c r="BP36" i="9"/>
  <c r="BP37" i="9"/>
  <c r="BP38" i="9"/>
  <c r="BP39" i="9"/>
  <c r="BP40" i="9"/>
  <c r="CB40" i="10"/>
  <c r="CB26" i="10"/>
  <c r="CB39" i="10"/>
  <c r="CB25" i="10"/>
  <c r="CB18" i="10"/>
  <c r="CB45" i="10"/>
  <c r="CB30" i="10"/>
  <c r="CB27" i="10"/>
  <c r="CB38" i="10"/>
  <c r="CB24" i="10"/>
  <c r="CB33" i="10"/>
  <c r="CB32" i="10"/>
  <c r="CB31" i="10"/>
  <c r="CB29" i="10"/>
  <c r="CB42" i="10"/>
  <c r="CB28" i="10"/>
  <c r="CB37" i="10"/>
  <c r="CB23" i="10"/>
  <c r="CB35" i="10"/>
  <c r="CB21" i="10"/>
  <c r="CB34" i="10"/>
  <c r="CB20" i="10"/>
  <c r="CB47" i="10"/>
  <c r="CB19" i="10"/>
  <c r="CB36" i="10"/>
  <c r="CB22" i="10"/>
  <c r="CB46" i="10"/>
  <c r="CB44" i="10"/>
  <c r="CB43" i="10"/>
  <c r="AE12" i="10"/>
  <c r="CB41" i="10"/>
  <c r="BZ18" i="10"/>
  <c r="BZ19" i="10"/>
  <c r="BZ20" i="10"/>
  <c r="BZ21" i="10"/>
  <c r="BZ22" i="10"/>
  <c r="BZ23" i="10"/>
  <c r="BZ24" i="10"/>
  <c r="BZ25" i="10"/>
  <c r="BZ26" i="10"/>
  <c r="BZ27" i="10"/>
  <c r="BZ28" i="10"/>
  <c r="BZ29" i="10"/>
  <c r="BZ30" i="10"/>
  <c r="BZ31" i="10"/>
  <c r="BZ32" i="10"/>
  <c r="BZ33" i="10"/>
  <c r="BZ34" i="10"/>
  <c r="BZ35" i="10"/>
  <c r="BZ36" i="10"/>
  <c r="BZ37" i="10"/>
  <c r="BZ38" i="10"/>
  <c r="BZ39" i="10"/>
  <c r="BZ40" i="10"/>
  <c r="BZ41" i="10"/>
  <c r="BZ42" i="10"/>
  <c r="BZ43" i="10"/>
  <c r="BZ44" i="10"/>
  <c r="BZ45" i="10"/>
  <c r="BZ46" i="10"/>
  <c r="BZ47" i="10"/>
  <c r="BT19" i="10"/>
  <c r="BT20" i="10"/>
  <c r="BS49" i="12"/>
  <c r="BU18" i="12"/>
  <c r="BU49" i="12" s="1"/>
  <c r="BF19" i="9"/>
  <c r="BF20" i="13"/>
  <c r="AM19" i="13"/>
  <c r="BF19" i="11"/>
  <c r="AM18" i="11"/>
  <c r="BF19" i="12"/>
  <c r="BQ18" i="9"/>
  <c r="BQ19" i="9"/>
  <c r="BQ20" i="9"/>
  <c r="BQ21" i="9"/>
  <c r="BQ22" i="9"/>
  <c r="BQ23" i="9"/>
  <c r="BQ24" i="9"/>
  <c r="BQ25" i="9"/>
  <c r="BQ26" i="9"/>
  <c r="BQ27" i="9"/>
  <c r="BQ28" i="9"/>
  <c r="BQ29" i="9"/>
  <c r="BQ30" i="9"/>
  <c r="BQ31" i="9"/>
  <c r="BQ32" i="9"/>
  <c r="BQ33" i="9"/>
  <c r="BQ34" i="9"/>
  <c r="BQ35" i="9"/>
  <c r="BQ36" i="9"/>
  <c r="BQ37" i="9"/>
  <c r="BQ38" i="9"/>
  <c r="BQ39" i="9"/>
  <c r="BQ40" i="9"/>
  <c r="BQ41" i="9"/>
  <c r="BQ42" i="9"/>
  <c r="BQ43" i="9"/>
  <c r="BQ44" i="9"/>
  <c r="BQ45" i="9"/>
  <c r="BQ46" i="9"/>
  <c r="BQ47" i="9"/>
  <c r="O142" i="10"/>
  <c r="O143" i="10" s="1"/>
  <c r="BQ18" i="10"/>
  <c r="P35" i="20"/>
  <c r="BY18" i="9"/>
  <c r="BZ18" i="9" s="1"/>
  <c r="CA18" i="9" s="1"/>
  <c r="P106" i="9"/>
  <c r="P58" i="9" s="1"/>
  <c r="P48" i="9"/>
  <c r="W22" i="20"/>
  <c r="P48" i="10"/>
  <c r="T22" i="20"/>
  <c r="H22" i="20" s="1"/>
  <c r="P58" i="12"/>
  <c r="O140" i="11"/>
  <c r="O141" i="11" s="1"/>
  <c r="P61" i="13"/>
  <c r="P62" i="13" s="1"/>
  <c r="AX49" i="17"/>
  <c r="BL21" i="17"/>
  <c r="BL49" i="17" s="1"/>
  <c r="V18" i="10"/>
  <c r="AW18" i="10"/>
  <c r="BK18" i="10" s="1"/>
  <c r="BP18" i="10"/>
  <c r="AO18" i="10"/>
  <c r="AY18" i="10"/>
  <c r="BL18" i="10" s="1"/>
  <c r="AQ18" i="10"/>
  <c r="AP18" i="10"/>
  <c r="AD18" i="10"/>
  <c r="Y18" i="10"/>
  <c r="AT18" i="10"/>
  <c r="BH18" i="10" s="1"/>
  <c r="AA18" i="10"/>
  <c r="Z18" i="10"/>
  <c r="BS18" i="10"/>
  <c r="BO18" i="10"/>
  <c r="CD43" i="17"/>
  <c r="CD44" i="17"/>
  <c r="CD42" i="17"/>
  <c r="BG21" i="17"/>
  <c r="AN20" i="17"/>
  <c r="P126" i="9"/>
  <c r="P41" i="9"/>
  <c r="O79" i="13"/>
  <c r="P36" i="20" s="1"/>
  <c r="P77" i="11"/>
  <c r="O77" i="11"/>
  <c r="P58" i="11"/>
  <c r="P59" i="12"/>
  <c r="O33" i="10"/>
  <c r="P40" i="10"/>
  <c r="T40" i="20" s="1"/>
  <c r="H40" i="20" s="1"/>
  <c r="O141" i="12"/>
  <c r="F86" i="13"/>
  <c r="O77" i="10"/>
  <c r="P98" i="10"/>
  <c r="P126" i="10"/>
  <c r="P131" i="10" s="1"/>
  <c r="AR18" i="10" s="1"/>
  <c r="P116" i="10"/>
  <c r="P121" i="10"/>
  <c r="O137" i="12"/>
  <c r="P77" i="12"/>
  <c r="O77" i="12"/>
  <c r="O137" i="11"/>
  <c r="P129" i="10"/>
  <c r="O139" i="10"/>
  <c r="BR18" i="10"/>
  <c r="P77" i="10"/>
  <c r="P97" i="9"/>
  <c r="P121" i="9"/>
  <c r="P116" i="9"/>
  <c r="O139" i="9"/>
  <c r="O77" i="9"/>
  <c r="P77" i="9"/>
  <c r="O142" i="9"/>
  <c r="O143" i="9" s="1"/>
  <c r="BY16" i="11" l="1"/>
  <c r="BV20" i="11"/>
  <c r="BV18" i="11"/>
  <c r="BV49" i="11" s="1"/>
  <c r="BN49" i="11"/>
  <c r="BT18" i="9" a="1"/>
  <c r="BT18" i="9" s="1"/>
  <c r="AY18" i="9"/>
  <c r="BL18" i="9" s="1"/>
  <c r="CF49" i="9"/>
  <c r="CD49" i="9"/>
  <c r="AK20" i="9"/>
  <c r="AK19" i="9"/>
  <c r="BP49" i="9"/>
  <c r="P49" i="9"/>
  <c r="W23" i="20" s="1"/>
  <c r="W24" i="20" s="1"/>
  <c r="AW21" i="9"/>
  <c r="AW22" i="9"/>
  <c r="BK22" i="9" s="1"/>
  <c r="AW23" i="9"/>
  <c r="BK23" i="9" s="1"/>
  <c r="AW24" i="9"/>
  <c r="BK24" i="9" s="1"/>
  <c r="AW25" i="9"/>
  <c r="BK25" i="9" s="1"/>
  <c r="AW26" i="9"/>
  <c r="BK26" i="9" s="1"/>
  <c r="AW27" i="9"/>
  <c r="BK27" i="9" s="1"/>
  <c r="AW28" i="9"/>
  <c r="BK28" i="9" s="1"/>
  <c r="AW29" i="9"/>
  <c r="BK29" i="9" s="1"/>
  <c r="AW30" i="9"/>
  <c r="BK30" i="9" s="1"/>
  <c r="AW31" i="9"/>
  <c r="BK31" i="9" s="1"/>
  <c r="AW32" i="9"/>
  <c r="BK32" i="9" s="1"/>
  <c r="AW33" i="9"/>
  <c r="BK33" i="9" s="1"/>
  <c r="AW34" i="9"/>
  <c r="BK34" i="9" s="1"/>
  <c r="AW35" i="9"/>
  <c r="BK35" i="9" s="1"/>
  <c r="AW36" i="9"/>
  <c r="BK36" i="9" s="1"/>
  <c r="AW37" i="9"/>
  <c r="BK37" i="9" s="1"/>
  <c r="AW38" i="9"/>
  <c r="BK38" i="9" s="1"/>
  <c r="AW39" i="9"/>
  <c r="BK39" i="9" s="1"/>
  <c r="AW40" i="9"/>
  <c r="BK40" i="9" s="1"/>
  <c r="AK18" i="9"/>
  <c r="BR49" i="9"/>
  <c r="BZ49" i="10"/>
  <c r="AH19" i="10"/>
  <c r="AH18" i="10"/>
  <c r="CB49" i="10"/>
  <c r="BA19" i="10"/>
  <c r="BA18" i="10"/>
  <c r="AV20" i="12"/>
  <c r="BJ20" i="12" s="1"/>
  <c r="AV24" i="12"/>
  <c r="BJ24" i="12" s="1"/>
  <c r="AU27" i="12"/>
  <c r="AV31" i="12"/>
  <c r="BJ31" i="12" s="1"/>
  <c r="AU38" i="12"/>
  <c r="AV41" i="12"/>
  <c r="BJ41" i="12" s="1"/>
  <c r="AU45" i="12"/>
  <c r="AV21" i="12"/>
  <c r="BJ21" i="12" s="1"/>
  <c r="AU24" i="12"/>
  <c r="AV28" i="12"/>
  <c r="BJ28" i="12" s="1"/>
  <c r="AU31" i="12"/>
  <c r="BI31" i="12" s="1"/>
  <c r="AV35" i="12"/>
  <c r="BJ35" i="12" s="1"/>
  <c r="AV38" i="12"/>
  <c r="BJ38" i="12" s="1"/>
  <c r="AU42" i="12"/>
  <c r="AU21" i="12"/>
  <c r="AV42" i="12"/>
  <c r="BJ42" i="12" s="1"/>
  <c r="AV45" i="12"/>
  <c r="BJ45" i="12" s="1"/>
  <c r="AV18" i="12"/>
  <c r="AV25" i="12"/>
  <c r="BJ25" i="12" s="1"/>
  <c r="AU28" i="12"/>
  <c r="AU32" i="12"/>
  <c r="AU18" i="12"/>
  <c r="AU25" i="12"/>
  <c r="BI25" i="12" s="1"/>
  <c r="AV32" i="12"/>
  <c r="BJ32" i="12" s="1"/>
  <c r="AU35" i="12"/>
  <c r="AV39" i="12"/>
  <c r="BJ39" i="12" s="1"/>
  <c r="AV46" i="12"/>
  <c r="BJ46" i="12" s="1"/>
  <c r="AU46" i="12"/>
  <c r="AV19" i="12"/>
  <c r="BJ19" i="12" s="1"/>
  <c r="AU26" i="12"/>
  <c r="AU33" i="12"/>
  <c r="AV40" i="12"/>
  <c r="BJ40" i="12" s="1"/>
  <c r="AV29" i="12"/>
  <c r="BJ29" i="12" s="1"/>
  <c r="AV36" i="12"/>
  <c r="BJ36" i="12" s="1"/>
  <c r="AV43" i="12"/>
  <c r="BJ43" i="12" s="1"/>
  <c r="AU47" i="12"/>
  <c r="AU19" i="12"/>
  <c r="AV26" i="12"/>
  <c r="BJ26" i="12" s="1"/>
  <c r="AV30" i="12"/>
  <c r="BJ30" i="12" s="1"/>
  <c r="AV44" i="12"/>
  <c r="BJ44" i="12" s="1"/>
  <c r="AV33" i="12"/>
  <c r="BJ33" i="12" s="1"/>
  <c r="AV37" i="12"/>
  <c r="BJ37" i="12" s="1"/>
  <c r="AV23" i="12"/>
  <c r="BJ23" i="12" s="1"/>
  <c r="AV34" i="12"/>
  <c r="BJ34" i="12" s="1"/>
  <c r="AU37" i="12"/>
  <c r="AU44" i="12"/>
  <c r="AU36" i="12"/>
  <c r="AU39" i="12"/>
  <c r="AU43" i="12"/>
  <c r="AV22" i="12"/>
  <c r="BJ22" i="12" s="1"/>
  <c r="AU22" i="12"/>
  <c r="BI22" i="12" s="1"/>
  <c r="AU29" i="12"/>
  <c r="AU40" i="12"/>
  <c r="AV47" i="12"/>
  <c r="BJ47" i="12" s="1"/>
  <c r="AU20" i="12"/>
  <c r="AU23" i="12"/>
  <c r="AV27" i="12"/>
  <c r="BJ27" i="12" s="1"/>
  <c r="AU30" i="12"/>
  <c r="AU34" i="12"/>
  <c r="AU41" i="12"/>
  <c r="BF20" i="9"/>
  <c r="BF21" i="13"/>
  <c r="BF20" i="11"/>
  <c r="AM19" i="11"/>
  <c r="BF20" i="12"/>
  <c r="BQ49" i="9"/>
  <c r="W40" i="20"/>
  <c r="AR18" i="9"/>
  <c r="O78" i="11"/>
  <c r="M35" i="20" s="1"/>
  <c r="P78" i="11"/>
  <c r="O78" i="10"/>
  <c r="S35" i="20" s="1"/>
  <c r="P131" i="9"/>
  <c r="P132" i="9"/>
  <c r="P108" i="9"/>
  <c r="P61" i="9" s="1"/>
  <c r="P62" i="9" s="1"/>
  <c r="P107" i="9"/>
  <c r="AF18" i="10"/>
  <c r="AX18" i="10"/>
  <c r="P49" i="10"/>
  <c r="T23" i="20" s="1"/>
  <c r="H23" i="20" s="1"/>
  <c r="P78" i="9"/>
  <c r="BM18" i="10"/>
  <c r="AB18" i="10"/>
  <c r="AC18" i="10" s="1"/>
  <c r="P78" i="12"/>
  <c r="AO20" i="12" s="1"/>
  <c r="AE18" i="10"/>
  <c r="P78" i="10"/>
  <c r="AT23" i="17"/>
  <c r="AS18" i="10"/>
  <c r="V19" i="10"/>
  <c r="AK18" i="10"/>
  <c r="BG22" i="17"/>
  <c r="AN21" i="17"/>
  <c r="AR19" i="10"/>
  <c r="P133" i="10"/>
  <c r="P132" i="10"/>
  <c r="P58" i="10"/>
  <c r="P59" i="10" s="1"/>
  <c r="AW19" i="10"/>
  <c r="P59" i="9"/>
  <c r="AV23" i="9" s="1"/>
  <c r="BJ23" i="9" s="1"/>
  <c r="F86" i="11"/>
  <c r="E77" i="13"/>
  <c r="O80" i="13"/>
  <c r="O82" i="13"/>
  <c r="P38" i="20" s="1"/>
  <c r="O79" i="11"/>
  <c r="O80" i="11" s="1"/>
  <c r="Z20" i="11" s="1"/>
  <c r="AD19" i="10"/>
  <c r="Z19" i="10"/>
  <c r="AA19" i="10"/>
  <c r="AY19" i="10"/>
  <c r="BL19" i="10" s="1"/>
  <c r="AT19" i="10"/>
  <c r="AQ19" i="10"/>
  <c r="AO19" i="10"/>
  <c r="Y19" i="10"/>
  <c r="AP19" i="10"/>
  <c r="O34" i="10"/>
  <c r="O35" i="10" s="1"/>
  <c r="O79" i="10"/>
  <c r="P109" i="10"/>
  <c r="P108" i="10"/>
  <c r="O78" i="12"/>
  <c r="Y20" i="12" s="1"/>
  <c r="F86" i="12"/>
  <c r="P60" i="11"/>
  <c r="P61" i="11" s="1"/>
  <c r="P79" i="11"/>
  <c r="BS19" i="10"/>
  <c r="BP19" i="10"/>
  <c r="BO19" i="10"/>
  <c r="BR19" i="10"/>
  <c r="BQ19" i="10"/>
  <c r="F87" i="10"/>
  <c r="BU18" i="10"/>
  <c r="P35" i="10"/>
  <c r="T15" i="20" s="1"/>
  <c r="H15" i="20" s="1"/>
  <c r="F86" i="9"/>
  <c r="O78" i="9"/>
  <c r="O65" i="9"/>
  <c r="G35" i="20" l="1"/>
  <c r="BN22" i="12"/>
  <c r="BV22" i="12" s="1"/>
  <c r="BY22" i="12" s="1"/>
  <c r="N35" i="20"/>
  <c r="AO20" i="11"/>
  <c r="AO49" i="11" s="1"/>
  <c r="BN25" i="12"/>
  <c r="BV25" i="12" s="1"/>
  <c r="BY25" i="12" s="1"/>
  <c r="AQ20" i="11"/>
  <c r="AZ18" i="11"/>
  <c r="BB18" i="11" s="1"/>
  <c r="BC18" i="11" s="1"/>
  <c r="BD18" i="11" s="1"/>
  <c r="AZ19" i="11"/>
  <c r="BB19" i="11" s="1"/>
  <c r="BC19" i="11" s="1"/>
  <c r="BD19" i="11" s="1"/>
  <c r="AZ20" i="11"/>
  <c r="BB20" i="11" s="1"/>
  <c r="AZ21" i="11"/>
  <c r="AZ22" i="11" s="1"/>
  <c r="AU22" i="9"/>
  <c r="AU28" i="9"/>
  <c r="BI28" i="9" s="1"/>
  <c r="AV22" i="9"/>
  <c r="BJ22" i="9" s="1"/>
  <c r="AU36" i="9"/>
  <c r="BI36" i="9" s="1"/>
  <c r="AU35" i="9"/>
  <c r="AU29" i="9"/>
  <c r="AV29" i="9"/>
  <c r="BJ29" i="9" s="1"/>
  <c r="AV28" i="9"/>
  <c r="BJ28" i="9" s="1"/>
  <c r="V35" i="20"/>
  <c r="Y20" i="9"/>
  <c r="Y49" i="9" s="1"/>
  <c r="BK21" i="9"/>
  <c r="BK49" i="9" s="1"/>
  <c r="AW49" i="9"/>
  <c r="AV43" i="9"/>
  <c r="BJ43" i="9" s="1"/>
  <c r="W35" i="20"/>
  <c r="AO20" i="9"/>
  <c r="AO49" i="9" s="1"/>
  <c r="AU42" i="9"/>
  <c r="BI42" i="9" s="1"/>
  <c r="AU21" i="9"/>
  <c r="BI21" i="9" s="1"/>
  <c r="AU40" i="9"/>
  <c r="BI40" i="9" s="1"/>
  <c r="AU43" i="9"/>
  <c r="BI43" i="9" s="1"/>
  <c r="AV36" i="9"/>
  <c r="BJ36" i="9" s="1"/>
  <c r="S36" i="20"/>
  <c r="O80" i="10"/>
  <c r="AG18" i="10"/>
  <c r="AG19" i="10" s="1"/>
  <c r="AH20" i="10"/>
  <c r="AK19" i="10"/>
  <c r="T24" i="20"/>
  <c r="H24" i="20" s="1"/>
  <c r="BA20" i="10"/>
  <c r="CA49" i="10"/>
  <c r="BT21" i="10"/>
  <c r="BT22" i="10"/>
  <c r="BT23" i="10"/>
  <c r="BT24" i="10"/>
  <c r="BT25" i="10"/>
  <c r="BT26" i="10"/>
  <c r="BT27" i="10"/>
  <c r="BT28" i="10"/>
  <c r="BT29" i="10"/>
  <c r="BT30" i="10"/>
  <c r="BT31" i="10"/>
  <c r="BT32" i="10"/>
  <c r="BT33" i="10"/>
  <c r="BT34" i="10"/>
  <c r="BT35" i="10"/>
  <c r="BT36" i="10"/>
  <c r="BT37" i="10"/>
  <c r="BT38" i="10"/>
  <c r="BT39" i="10"/>
  <c r="BT40" i="10"/>
  <c r="P37" i="20"/>
  <c r="O81" i="13"/>
  <c r="Z20" i="13"/>
  <c r="AC20" i="11"/>
  <c r="Z49" i="11"/>
  <c r="BJ18" i="12"/>
  <c r="BJ49" i="12" s="1"/>
  <c r="AV49" i="12"/>
  <c r="BI46" i="12"/>
  <c r="BN46" i="12" s="1"/>
  <c r="BV46" i="12" s="1"/>
  <c r="BY46" i="12" s="1"/>
  <c r="BI20" i="12"/>
  <c r="BN20" i="12" s="1"/>
  <c r="BV20" i="12" s="1"/>
  <c r="BI40" i="12"/>
  <c r="BN40" i="12" s="1"/>
  <c r="BV40" i="12" s="1"/>
  <c r="BY40" i="12" s="1"/>
  <c r="BI35" i="12"/>
  <c r="BN35" i="12" s="1"/>
  <c r="BV35" i="12" s="1"/>
  <c r="BY35" i="12" s="1"/>
  <c r="BI29" i="12"/>
  <c r="BN29" i="12" s="1"/>
  <c r="BV29" i="12" s="1"/>
  <c r="BY29" i="12" s="1"/>
  <c r="BI44" i="12"/>
  <c r="BN44" i="12" s="1"/>
  <c r="BV44" i="12" s="1"/>
  <c r="BY44" i="12" s="1"/>
  <c r="BI23" i="12"/>
  <c r="BN23" i="12" s="1"/>
  <c r="BV23" i="12" s="1"/>
  <c r="BY23" i="12" s="1"/>
  <c r="BI42" i="12"/>
  <c r="BN42" i="12" s="1"/>
  <c r="BV42" i="12" s="1"/>
  <c r="BY42" i="12" s="1"/>
  <c r="BN31" i="12"/>
  <c r="BV31" i="12" s="1"/>
  <c r="BY31" i="12" s="1"/>
  <c r="BI19" i="12"/>
  <c r="BN19" i="12" s="1"/>
  <c r="BV19" i="12" s="1"/>
  <c r="BI24" i="12"/>
  <c r="BN24" i="12" s="1"/>
  <c r="BV24" i="12" s="1"/>
  <c r="BY24" i="12" s="1"/>
  <c r="AO49" i="12"/>
  <c r="BI47" i="12"/>
  <c r="BI18" i="12"/>
  <c r="AU49" i="12"/>
  <c r="BI43" i="12"/>
  <c r="BN43" i="12" s="1"/>
  <c r="BV43" i="12" s="1"/>
  <c r="BY43" i="12" s="1"/>
  <c r="BI32" i="12"/>
  <c r="BN32" i="12" s="1"/>
  <c r="BV32" i="12" s="1"/>
  <c r="BY32" i="12" s="1"/>
  <c r="BI45" i="12"/>
  <c r="BN45" i="12" s="1"/>
  <c r="BV45" i="12" s="1"/>
  <c r="BY45" i="12" s="1"/>
  <c r="BI39" i="12"/>
  <c r="BN39" i="12" s="1"/>
  <c r="BV39" i="12" s="1"/>
  <c r="BY39" i="12" s="1"/>
  <c r="BI28" i="12"/>
  <c r="BN28" i="12" s="1"/>
  <c r="BV28" i="12" s="1"/>
  <c r="BY28" i="12" s="1"/>
  <c r="BI36" i="12"/>
  <c r="BN36" i="12" s="1"/>
  <c r="BV36" i="12" s="1"/>
  <c r="BY36" i="12" s="1"/>
  <c r="BI38" i="12"/>
  <c r="BN38" i="12" s="1"/>
  <c r="BV38" i="12" s="1"/>
  <c r="BY38" i="12" s="1"/>
  <c r="BI41" i="12"/>
  <c r="BN41" i="12" s="1"/>
  <c r="BV41" i="12" s="1"/>
  <c r="BY41" i="12" s="1"/>
  <c r="BI34" i="12"/>
  <c r="BN34" i="12" s="1"/>
  <c r="BV34" i="12" s="1"/>
  <c r="BY34" i="12" s="1"/>
  <c r="BI37" i="12"/>
  <c r="BN37" i="12" s="1"/>
  <c r="BV37" i="12" s="1"/>
  <c r="BY37" i="12" s="1"/>
  <c r="BI33" i="12"/>
  <c r="BN33" i="12" s="1"/>
  <c r="BV33" i="12" s="1"/>
  <c r="BY33" i="12" s="1"/>
  <c r="BI27" i="12"/>
  <c r="BN27" i="12" s="1"/>
  <c r="BV27" i="12" s="1"/>
  <c r="BY27" i="12" s="1"/>
  <c r="BI30" i="12"/>
  <c r="BN30" i="12" s="1"/>
  <c r="BV30" i="12" s="1"/>
  <c r="BY30" i="12" s="1"/>
  <c r="BI26" i="12"/>
  <c r="BN26" i="12" s="1"/>
  <c r="BV26" i="12" s="1"/>
  <c r="BY26" i="12" s="1"/>
  <c r="Y49" i="12"/>
  <c r="BI21" i="12"/>
  <c r="BN21" i="12" s="1"/>
  <c r="BV21" i="12" s="1"/>
  <c r="BY21" i="12" s="1"/>
  <c r="AU23" i="9"/>
  <c r="BI23" i="9" s="1"/>
  <c r="AV42" i="9"/>
  <c r="BJ42" i="9" s="1"/>
  <c r="AV35" i="9"/>
  <c r="BJ35" i="9" s="1"/>
  <c r="AV21" i="9"/>
  <c r="BJ21" i="9" s="1"/>
  <c r="AU41" i="9"/>
  <c r="BI41" i="9" s="1"/>
  <c r="AV34" i="9"/>
  <c r="BJ34" i="9" s="1"/>
  <c r="AV27" i="9"/>
  <c r="BJ27" i="9" s="1"/>
  <c r="AV20" i="9"/>
  <c r="BJ20" i="9" s="1"/>
  <c r="AV41" i="9"/>
  <c r="BJ41" i="9" s="1"/>
  <c r="AU34" i="9"/>
  <c r="BI34" i="9" s="1"/>
  <c r="AU27" i="9"/>
  <c r="BI27" i="9" s="1"/>
  <c r="AU20" i="9"/>
  <c r="BI20" i="9" s="1"/>
  <c r="AV47" i="9"/>
  <c r="BJ47" i="9" s="1"/>
  <c r="AV40" i="9"/>
  <c r="BJ40" i="9" s="1"/>
  <c r="AV33" i="9"/>
  <c r="BJ33" i="9" s="1"/>
  <c r="AV26" i="9"/>
  <c r="BJ26" i="9" s="1"/>
  <c r="AV19" i="9"/>
  <c r="BJ19" i="9" s="1"/>
  <c r="AU47" i="9"/>
  <c r="BI47" i="9" s="1"/>
  <c r="AU33" i="9"/>
  <c r="BI33" i="9" s="1"/>
  <c r="AU26" i="9"/>
  <c r="BI26" i="9" s="1"/>
  <c r="AU19" i="9"/>
  <c r="BI19" i="9" s="1"/>
  <c r="AU46" i="9"/>
  <c r="BI46" i="9" s="1"/>
  <c r="AV39" i="9"/>
  <c r="BJ39" i="9" s="1"/>
  <c r="AV32" i="9"/>
  <c r="BJ32" i="9" s="1"/>
  <c r="AU25" i="9"/>
  <c r="BI25" i="9" s="1"/>
  <c r="AV18" i="9"/>
  <c r="BJ18" i="9" s="1"/>
  <c r="CC18" i="9" s="1" a="1"/>
  <c r="CC18" i="9" s="1"/>
  <c r="CG18" i="9" s="1"/>
  <c r="AV46" i="9"/>
  <c r="BJ46" i="9" s="1"/>
  <c r="AU39" i="9"/>
  <c r="BI39" i="9" s="1"/>
  <c r="AU32" i="9"/>
  <c r="AV25" i="9"/>
  <c r="BJ25" i="9" s="1"/>
  <c r="AU18" i="9"/>
  <c r="BI18" i="9" s="1"/>
  <c r="AU45" i="9"/>
  <c r="BI45" i="9" s="1"/>
  <c r="AU38" i="9"/>
  <c r="BI38" i="9" s="1"/>
  <c r="AV31" i="9"/>
  <c r="BJ31" i="9" s="1"/>
  <c r="AV24" i="9"/>
  <c r="BJ24" i="9" s="1"/>
  <c r="AV45" i="9"/>
  <c r="BJ45" i="9" s="1"/>
  <c r="AV38" i="9"/>
  <c r="BJ38" i="9" s="1"/>
  <c r="AU31" i="9"/>
  <c r="BI31" i="9" s="1"/>
  <c r="AU24" i="9"/>
  <c r="AU44" i="9"/>
  <c r="BI44" i="9" s="1"/>
  <c r="AU37" i="9"/>
  <c r="BI37" i="9" s="1"/>
  <c r="AV30" i="9"/>
  <c r="BJ30" i="9" s="1"/>
  <c r="AV44" i="9"/>
  <c r="BJ44" i="9" s="1"/>
  <c r="AV37" i="9"/>
  <c r="BJ37" i="9" s="1"/>
  <c r="AU30" i="9"/>
  <c r="BI30" i="9" s="1"/>
  <c r="BF21" i="9"/>
  <c r="BF22" i="13"/>
  <c r="AM21" i="13"/>
  <c r="BF21" i="11"/>
  <c r="BF21" i="12"/>
  <c r="BI29" i="9"/>
  <c r="BI35" i="9"/>
  <c r="BI22" i="9"/>
  <c r="BU18" i="9"/>
  <c r="AS18" i="9"/>
  <c r="N36" i="20"/>
  <c r="P80" i="11"/>
  <c r="AP20" i="11" s="1"/>
  <c r="O81" i="11"/>
  <c r="P81" i="11"/>
  <c r="M36" i="20"/>
  <c r="G36" i="20" s="1"/>
  <c r="BY19" i="9"/>
  <c r="BZ19" i="9" s="1"/>
  <c r="CA19" i="9" s="1"/>
  <c r="AF19" i="10"/>
  <c r="AX19" i="10"/>
  <c r="O67" i="9"/>
  <c r="V16" i="20"/>
  <c r="P79" i="9"/>
  <c r="J35" i="20"/>
  <c r="P79" i="12"/>
  <c r="K35" i="20"/>
  <c r="O65" i="10"/>
  <c r="S15" i="20"/>
  <c r="G15" i="20" s="1"/>
  <c r="T16" i="20"/>
  <c r="H16" i="20" s="1"/>
  <c r="T35" i="20"/>
  <c r="H35" i="20" s="1"/>
  <c r="BM19" i="10"/>
  <c r="AB19" i="10"/>
  <c r="AC19" i="10" s="1"/>
  <c r="P79" i="10"/>
  <c r="BU19" i="10"/>
  <c r="V20" i="10"/>
  <c r="AS19" i="10"/>
  <c r="BG23" i="17"/>
  <c r="AN22" i="17"/>
  <c r="AV19" i="10"/>
  <c r="BJ19" i="10" s="1"/>
  <c r="AR20" i="10"/>
  <c r="AU18" i="10"/>
  <c r="AU19" i="10"/>
  <c r="BI19" i="10" s="1"/>
  <c r="AV18" i="10"/>
  <c r="BJ18" i="10" s="1"/>
  <c r="AW20" i="10"/>
  <c r="BK20" i="10" s="1"/>
  <c r="P61" i="10"/>
  <c r="P62" i="10" s="1"/>
  <c r="P61" i="12"/>
  <c r="P62" i="12" s="1"/>
  <c r="AD20" i="10"/>
  <c r="E77" i="11"/>
  <c r="E77" i="10"/>
  <c r="O79" i="9"/>
  <c r="M37" i="20"/>
  <c r="O82" i="11"/>
  <c r="O79" i="12"/>
  <c r="AV20" i="10"/>
  <c r="BJ20" i="10" s="1"/>
  <c r="AU20" i="10"/>
  <c r="AT20" i="10"/>
  <c r="AE19" i="10"/>
  <c r="AO20" i="10"/>
  <c r="Y20" i="10"/>
  <c r="AY20" i="10"/>
  <c r="BL20" i="10" s="1"/>
  <c r="O82" i="10"/>
  <c r="P82" i="11"/>
  <c r="N37" i="20"/>
  <c r="F77" i="11"/>
  <c r="BH19" i="10"/>
  <c r="BK19" i="10"/>
  <c r="BO20" i="10"/>
  <c r="BR20" i="10"/>
  <c r="BQ20" i="10"/>
  <c r="BP20" i="10"/>
  <c r="BS20" i="10"/>
  <c r="AZ23" i="11" l="1"/>
  <c r="BB23" i="11" s="1"/>
  <c r="BC23" i="11" s="1"/>
  <c r="BN18" i="12"/>
  <c r="BV18" i="12" s="1"/>
  <c r="BB21" i="11"/>
  <c r="BC21" i="11" s="1"/>
  <c r="BA22" i="11"/>
  <c r="BB22" i="11" s="1"/>
  <c r="BC22" i="11" s="1"/>
  <c r="BA21" i="11"/>
  <c r="BA23" i="11"/>
  <c r="BA24" i="11"/>
  <c r="AQ49" i="11"/>
  <c r="BT19" i="9" a="1"/>
  <c r="BT19" i="9" s="1"/>
  <c r="AY19" i="9"/>
  <c r="BL19" i="9" s="1"/>
  <c r="W36" i="20"/>
  <c r="AZ18" i="9"/>
  <c r="AZ19" i="9" s="1"/>
  <c r="AQ20" i="9"/>
  <c r="V36" i="20"/>
  <c r="AG18" i="9"/>
  <c r="AA20" i="9"/>
  <c r="BY19" i="10" a="1"/>
  <c r="BY19" i="10" s="1"/>
  <c r="BY18" i="10" a="1"/>
  <c r="BY18" i="10" s="1"/>
  <c r="CC18" i="10" s="1"/>
  <c r="AG20" i="10"/>
  <c r="AG21" i="10" s="1"/>
  <c r="P80" i="10"/>
  <c r="AZ18" i="10"/>
  <c r="AZ19" i="10" s="1"/>
  <c r="AZ20" i="10" s="1"/>
  <c r="BI32" i="9"/>
  <c r="BJ49" i="9"/>
  <c r="BI24" i="9"/>
  <c r="AC20" i="13"/>
  <c r="Z49" i="13"/>
  <c r="AS20" i="11"/>
  <c r="AP49" i="11"/>
  <c r="AJ20" i="11"/>
  <c r="AC49" i="11"/>
  <c r="BI49" i="12"/>
  <c r="BN47" i="12"/>
  <c r="BV47" i="12" s="1"/>
  <c r="BY47" i="12" s="1"/>
  <c r="BY16" i="12" s="1"/>
  <c r="J36" i="20"/>
  <c r="AG18" i="12"/>
  <c r="AI18" i="12" s="1"/>
  <c r="AA20" i="12"/>
  <c r="K36" i="20"/>
  <c r="AZ18" i="12"/>
  <c r="AQ20" i="12"/>
  <c r="O81" i="12"/>
  <c r="AV49" i="9"/>
  <c r="AU49" i="9"/>
  <c r="BF22" i="9"/>
  <c r="BF23" i="13"/>
  <c r="AM22" i="13"/>
  <c r="BF22" i="11"/>
  <c r="BD21" i="11"/>
  <c r="AM21" i="11"/>
  <c r="BF22" i="12"/>
  <c r="BN18" i="9"/>
  <c r="BV18" i="9" s="1"/>
  <c r="AR19" i="9"/>
  <c r="F77" i="9"/>
  <c r="AI18" i="10"/>
  <c r="AJ18" i="10" s="1"/>
  <c r="AM18" i="10" s="1"/>
  <c r="BY20" i="9"/>
  <c r="BZ20" i="9" s="1"/>
  <c r="CA20" i="9" s="1"/>
  <c r="AB20" i="10"/>
  <c r="AF20" i="10"/>
  <c r="AX20" i="10"/>
  <c r="P82" i="9"/>
  <c r="W38" i="20" s="1"/>
  <c r="P80" i="9"/>
  <c r="P80" i="12"/>
  <c r="P82" i="12"/>
  <c r="K38" i="20" s="1"/>
  <c r="F77" i="12"/>
  <c r="M38" i="20"/>
  <c r="N38" i="20"/>
  <c r="O81" i="10"/>
  <c r="S38" i="20" s="1"/>
  <c r="S37" i="20"/>
  <c r="G37" i="20" s="1"/>
  <c r="T36" i="20"/>
  <c r="H36" i="20" s="1"/>
  <c r="S16" i="20"/>
  <c r="G16" i="20" s="1"/>
  <c r="O67" i="10"/>
  <c r="AQ20" i="10"/>
  <c r="F77" i="10"/>
  <c r="P82" i="10"/>
  <c r="BM20" i="10"/>
  <c r="BY20" i="10" s="1" a="1"/>
  <c r="BY20" i="10" s="1"/>
  <c r="BU20" i="10"/>
  <c r="V21" i="10"/>
  <c r="BG24" i="17"/>
  <c r="AN23" i="17"/>
  <c r="BI18" i="10"/>
  <c r="AR21" i="10"/>
  <c r="AW21" i="10"/>
  <c r="AY21" i="10"/>
  <c r="BL21" i="10" s="1"/>
  <c r="O82" i="9"/>
  <c r="V38" i="20" s="1"/>
  <c r="O80" i="12"/>
  <c r="Z20" i="12" s="1"/>
  <c r="E77" i="12"/>
  <c r="E77" i="9"/>
  <c r="O80" i="9"/>
  <c r="O82" i="12"/>
  <c r="Z21" i="10"/>
  <c r="Y21" i="10"/>
  <c r="AQ21" i="10"/>
  <c r="AP21" i="10"/>
  <c r="AO21" i="10"/>
  <c r="AA21" i="10"/>
  <c r="AD21" i="10"/>
  <c r="AT21" i="10"/>
  <c r="AU21" i="10"/>
  <c r="AE20" i="10"/>
  <c r="Z20" i="10"/>
  <c r="BH20" i="10"/>
  <c r="BP21" i="10"/>
  <c r="BO21" i="10"/>
  <c r="BS21" i="10"/>
  <c r="BR21" i="10"/>
  <c r="BQ21" i="10"/>
  <c r="BN19" i="10"/>
  <c r="BV19" i="10" s="1"/>
  <c r="BI20" i="10"/>
  <c r="G38" i="20" l="1"/>
  <c r="BV49" i="12"/>
  <c r="CC19" i="9" a="1"/>
  <c r="CC19" i="9" s="1"/>
  <c r="AZ24" i="11"/>
  <c r="BN49" i="12"/>
  <c r="BA25" i="11"/>
  <c r="BT20" i="9" a="1"/>
  <c r="BT20" i="9" s="1"/>
  <c r="AY20" i="9"/>
  <c r="BB19" i="9"/>
  <c r="BN19" i="9"/>
  <c r="BB18" i="9"/>
  <c r="BC18" i="9" s="1"/>
  <c r="BD18" i="9" s="1"/>
  <c r="AZ20" i="9"/>
  <c r="AG19" i="9"/>
  <c r="AI18" i="9"/>
  <c r="AJ18" i="9" s="1"/>
  <c r="AM18" i="9" s="1"/>
  <c r="AQ49" i="9"/>
  <c r="CH18" i="9"/>
  <c r="CG19" i="9" s="1"/>
  <c r="AA49" i="9"/>
  <c r="CD18" i="10"/>
  <c r="AH22" i="10"/>
  <c r="BA21" i="10"/>
  <c r="BN18" i="10"/>
  <c r="BV18" i="10" s="1"/>
  <c r="AZ21" i="10"/>
  <c r="AG22" i="10"/>
  <c r="AH21" i="10"/>
  <c r="BI49" i="9"/>
  <c r="P81" i="9"/>
  <c r="AP20" i="9"/>
  <c r="AP49" i="9" s="1"/>
  <c r="V37" i="20"/>
  <c r="O81" i="9"/>
  <c r="Z20" i="9"/>
  <c r="AJ20" i="13"/>
  <c r="AC49" i="13"/>
  <c r="AJ49" i="11"/>
  <c r="AM20" i="11"/>
  <c r="BC20" i="11"/>
  <c r="AS49" i="11"/>
  <c r="AJ18" i="12"/>
  <c r="AH21" i="12"/>
  <c r="AA49" i="12"/>
  <c r="Z49" i="12"/>
  <c r="AC20" i="12"/>
  <c r="AC49" i="12" s="1"/>
  <c r="AQ49" i="12"/>
  <c r="AZ19" i="12"/>
  <c r="BB19" i="12" s="1"/>
  <c r="BC19" i="12" s="1"/>
  <c r="BD19" i="12" s="1"/>
  <c r="BB18" i="12"/>
  <c r="BC18" i="12" s="1"/>
  <c r="AG20" i="12"/>
  <c r="AI20" i="12" s="1"/>
  <c r="AJ20" i="12" s="1"/>
  <c r="AM20" i="12" s="1"/>
  <c r="AG19" i="12"/>
  <c r="AI19" i="12" s="1"/>
  <c r="AJ19" i="12" s="1"/>
  <c r="AM19" i="12" s="1"/>
  <c r="K37" i="20"/>
  <c r="AP20" i="12"/>
  <c r="P81" i="12"/>
  <c r="BF23" i="9"/>
  <c r="BF24" i="13"/>
  <c r="AM23" i="13"/>
  <c r="BF23" i="11"/>
  <c r="BD22" i="11"/>
  <c r="AM22" i="11"/>
  <c r="BF23" i="12"/>
  <c r="AR20" i="9"/>
  <c r="BU20" i="9"/>
  <c r="AS19" i="9"/>
  <c r="BU19" i="9"/>
  <c r="BV19" i="9" s="1"/>
  <c r="W37" i="20"/>
  <c r="BY21" i="9"/>
  <c r="BZ21" i="9" s="1"/>
  <c r="CA21" i="9" s="1"/>
  <c r="AX21" i="10"/>
  <c r="AF21" i="10"/>
  <c r="BB19" i="10"/>
  <c r="BC19" i="10" s="1"/>
  <c r="J38" i="20"/>
  <c r="J37" i="20"/>
  <c r="P81" i="10"/>
  <c r="T38" i="20" s="1"/>
  <c r="H38" i="20" s="1"/>
  <c r="T37" i="20"/>
  <c r="H37" i="20" s="1"/>
  <c r="BM21" i="10"/>
  <c r="AB21" i="10"/>
  <c r="AC21" i="10" s="1"/>
  <c r="BB18" i="10"/>
  <c r="BC18" i="10" s="1"/>
  <c r="BB20" i="10"/>
  <c r="AP20" i="10"/>
  <c r="AS20" i="10" s="1"/>
  <c r="BU21" i="10"/>
  <c r="V22" i="10"/>
  <c r="AC20" i="10"/>
  <c r="AI19" i="10"/>
  <c r="AJ19" i="10" s="1"/>
  <c r="AS21" i="10"/>
  <c r="BG25" i="17"/>
  <c r="AN24" i="17"/>
  <c r="AR22" i="10"/>
  <c r="AW22" i="10"/>
  <c r="BK22" i="10" s="1"/>
  <c r="AD22" i="10"/>
  <c r="Y22" i="10"/>
  <c r="AA22" i="10"/>
  <c r="Z22" i="10"/>
  <c r="AT22" i="10"/>
  <c r="AQ22" i="10"/>
  <c r="AO22" i="10"/>
  <c r="AP22" i="10"/>
  <c r="AU22" i="10"/>
  <c r="AV22" i="10"/>
  <c r="BJ22" i="10" s="1"/>
  <c r="AY22" i="10"/>
  <c r="AE21" i="10"/>
  <c r="BK21" i="10"/>
  <c r="BJ21" i="10"/>
  <c r="BH21" i="10"/>
  <c r="BI21" i="10"/>
  <c r="BP22" i="10"/>
  <c r="BO22" i="10"/>
  <c r="BS22" i="10"/>
  <c r="BR22" i="10"/>
  <c r="BQ22" i="10"/>
  <c r="BN20" i="10"/>
  <c r="BV20" i="10" s="1"/>
  <c r="BB24" i="11" l="1"/>
  <c r="BC24" i="11" s="1"/>
  <c r="AZ25" i="11"/>
  <c r="CC19" i="10"/>
  <c r="BY21" i="10" a="1"/>
  <c r="BY21" i="10" s="1"/>
  <c r="BB20" i="9"/>
  <c r="BT21" i="9" a="1"/>
  <c r="BT21" i="9" s="1"/>
  <c r="AY21" i="9"/>
  <c r="BL21" i="9" s="1"/>
  <c r="BL20" i="9"/>
  <c r="AZ21" i="9"/>
  <c r="AZ22" i="9" s="1"/>
  <c r="AZ23" i="9" s="1"/>
  <c r="BA21" i="9"/>
  <c r="BA23" i="9"/>
  <c r="CH19" i="9"/>
  <c r="AS20" i="9"/>
  <c r="AG20" i="9"/>
  <c r="AI19" i="9"/>
  <c r="AJ19" i="9" s="1"/>
  <c r="AM19" i="9" s="1"/>
  <c r="AG23" i="10"/>
  <c r="AG24" i="10" s="1"/>
  <c r="AH23" i="10"/>
  <c r="BA22" i="10"/>
  <c r="AZ22" i="10"/>
  <c r="AZ23" i="10" s="1"/>
  <c r="AC20" i="9"/>
  <c r="Z49" i="9"/>
  <c r="AJ49" i="13"/>
  <c r="AM20" i="13"/>
  <c r="BD20" i="11"/>
  <c r="AP49" i="12"/>
  <c r="AS20" i="12"/>
  <c r="AK21" i="12"/>
  <c r="AG21" i="12"/>
  <c r="BD18" i="12"/>
  <c r="AZ20" i="12"/>
  <c r="AM18" i="12"/>
  <c r="BF24" i="9"/>
  <c r="BF25" i="13"/>
  <c r="AM24" i="13"/>
  <c r="BF24" i="11"/>
  <c r="BD23" i="11"/>
  <c r="AM23" i="11"/>
  <c r="BF24" i="12"/>
  <c r="BB21" i="10"/>
  <c r="BC21" i="10" s="1"/>
  <c r="AI20" i="10"/>
  <c r="AJ20" i="10" s="1"/>
  <c r="AK20" i="10"/>
  <c r="BC19" i="9"/>
  <c r="AR21" i="9"/>
  <c r="BY22" i="9"/>
  <c r="BZ22" i="9" s="1"/>
  <c r="CA22" i="9" s="1"/>
  <c r="AX22" i="10"/>
  <c r="AF22" i="10"/>
  <c r="BD19" i="10"/>
  <c r="BC20" i="10"/>
  <c r="BD18" i="10"/>
  <c r="AM19" i="10"/>
  <c r="BM22" i="10"/>
  <c r="AB22" i="10"/>
  <c r="AC22" i="10" s="1"/>
  <c r="BU22" i="10"/>
  <c r="AK21" i="10"/>
  <c r="AK22" i="10"/>
  <c r="V23" i="10"/>
  <c r="BG26" i="17"/>
  <c r="AN25" i="17"/>
  <c r="AS22" i="10"/>
  <c r="AR23" i="10"/>
  <c r="AW23" i="10"/>
  <c r="BK23" i="10" s="1"/>
  <c r="AE22" i="10"/>
  <c r="BL22" i="10"/>
  <c r="BY22" i="10" s="1" a="1"/>
  <c r="BY22" i="10" s="1"/>
  <c r="AQ23" i="10"/>
  <c r="AP23" i="10"/>
  <c r="AO23" i="10"/>
  <c r="AD23" i="10"/>
  <c r="Z23" i="10"/>
  <c r="Y23" i="10"/>
  <c r="AA23" i="10"/>
  <c r="AT23" i="10"/>
  <c r="AV23" i="10"/>
  <c r="BJ23" i="10" s="1"/>
  <c r="AU23" i="10"/>
  <c r="BI23" i="10" s="1"/>
  <c r="AY23" i="10"/>
  <c r="BL23" i="10" s="1"/>
  <c r="BH22" i="10"/>
  <c r="BP23" i="10"/>
  <c r="BO23" i="10"/>
  <c r="BS23" i="10"/>
  <c r="BR23" i="10"/>
  <c r="BQ23" i="10"/>
  <c r="BN21" i="10"/>
  <c r="BV21" i="10" s="1"/>
  <c r="BW21" i="10" s="1"/>
  <c r="BI22" i="10"/>
  <c r="BB25" i="11" l="1"/>
  <c r="BC25" i="11" s="1"/>
  <c r="AZ24" i="9"/>
  <c r="BA25" i="9" s="1"/>
  <c r="AZ26" i="11"/>
  <c r="BA26" i="11"/>
  <c r="BA21" i="12"/>
  <c r="BA24" i="9"/>
  <c r="BA22" i="9"/>
  <c r="BC20" i="9"/>
  <c r="BD20" i="9" s="1"/>
  <c r="BB21" i="9"/>
  <c r="BT22" i="9" a="1"/>
  <c r="BT22" i="9" s="1"/>
  <c r="BU22" i="9" s="1"/>
  <c r="AY22" i="9"/>
  <c r="CC20" i="9" a="1"/>
  <c r="CC20" i="9" s="1"/>
  <c r="BN20" i="9"/>
  <c r="BN21" i="9"/>
  <c r="CC21" i="9" a="1"/>
  <c r="CC21" i="9" s="1"/>
  <c r="CJ18" i="9"/>
  <c r="AZ25" i="9"/>
  <c r="AZ26" i="9" s="1"/>
  <c r="AI20" i="9"/>
  <c r="AJ20" i="9" s="1"/>
  <c r="AG21" i="9"/>
  <c r="AH21" i="9"/>
  <c r="AH24" i="10"/>
  <c r="BA24" i="10"/>
  <c r="AZ24" i="10"/>
  <c r="BA23" i="10"/>
  <c r="AC49" i="9"/>
  <c r="AH23" i="12"/>
  <c r="AK23" i="12" s="1"/>
  <c r="AG22" i="12"/>
  <c r="AH24" i="12" s="1"/>
  <c r="AK24" i="12" s="1"/>
  <c r="AZ21" i="12"/>
  <c r="BA22" i="12" s="1"/>
  <c r="AS49" i="12"/>
  <c r="AH22" i="12"/>
  <c r="AI21" i="12"/>
  <c r="AG23" i="12"/>
  <c r="BB20" i="12"/>
  <c r="BC20" i="12" s="1"/>
  <c r="BF25" i="9"/>
  <c r="BF26" i="13"/>
  <c r="AM25" i="13"/>
  <c r="BF25" i="11"/>
  <c r="BD24" i="11"/>
  <c r="AM24" i="11"/>
  <c r="BF25" i="12"/>
  <c r="AS21" i="9"/>
  <c r="BU21" i="9"/>
  <c r="BV21" i="9" s="1"/>
  <c r="BD19" i="9"/>
  <c r="AR22" i="9"/>
  <c r="AS22" i="9" s="1"/>
  <c r="BY23" i="9"/>
  <c r="BZ23" i="9" s="1"/>
  <c r="CA23" i="9" s="1"/>
  <c r="AX23" i="10"/>
  <c r="AF23" i="10"/>
  <c r="AM20" i="10"/>
  <c r="BM23" i="10"/>
  <c r="BY23" i="10" s="1" a="1"/>
  <c r="BY23" i="10" s="1"/>
  <c r="AB23" i="10"/>
  <c r="AC23" i="10" s="1"/>
  <c r="BD20" i="10"/>
  <c r="AI22" i="10"/>
  <c r="AJ22" i="10" s="1"/>
  <c r="BU23" i="10"/>
  <c r="AJ21" i="10"/>
  <c r="V24" i="10"/>
  <c r="AK23" i="10"/>
  <c r="BB22" i="10"/>
  <c r="BC22" i="10" s="1"/>
  <c r="AS23" i="10"/>
  <c r="BG27" i="17"/>
  <c r="AN26" i="17"/>
  <c r="AR24" i="10"/>
  <c r="AW24" i="10"/>
  <c r="BK24" i="10" s="1"/>
  <c r="BD21" i="10"/>
  <c r="AE23" i="10"/>
  <c r="AP24" i="10"/>
  <c r="AO24" i="10"/>
  <c r="AT24" i="10"/>
  <c r="AQ24" i="10"/>
  <c r="AD24" i="10"/>
  <c r="AA24" i="10"/>
  <c r="AH25" i="10" s="1"/>
  <c r="Z24" i="10"/>
  <c r="Y24" i="10"/>
  <c r="AV24" i="10"/>
  <c r="AU24" i="10"/>
  <c r="AY24" i="10"/>
  <c r="BL24" i="10" s="1"/>
  <c r="BN22" i="10"/>
  <c r="BH23" i="10"/>
  <c r="BP24" i="10"/>
  <c r="BO24" i="10"/>
  <c r="BS24" i="10"/>
  <c r="BR24" i="10"/>
  <c r="BQ24" i="10"/>
  <c r="AZ22" i="12" l="1"/>
  <c r="BB26" i="11"/>
  <c r="BC26" i="11" s="1"/>
  <c r="BA27" i="11"/>
  <c r="BA23" i="12"/>
  <c r="AZ27" i="11"/>
  <c r="BT23" i="9" a="1"/>
  <c r="BT23" i="9" s="1"/>
  <c r="BU23" i="9" s="1"/>
  <c r="AY23" i="9"/>
  <c r="BV20" i="9"/>
  <c r="BL22" i="9"/>
  <c r="CC22" i="9" s="1" a="1"/>
  <c r="CC22" i="9" s="1"/>
  <c r="BB22" i="9"/>
  <c r="BC22" i="9" s="1"/>
  <c r="CG20" i="9"/>
  <c r="BW21" i="9"/>
  <c r="AI21" i="9"/>
  <c r="AJ21" i="9" s="1"/>
  <c r="AM21" i="9" s="1"/>
  <c r="AG22" i="9"/>
  <c r="AG23" i="9" s="1"/>
  <c r="AH24" i="9" s="1"/>
  <c r="AK24" i="9" s="1"/>
  <c r="AK21" i="9"/>
  <c r="AZ27" i="9"/>
  <c r="BA28" i="9" s="1"/>
  <c r="BA26" i="9"/>
  <c r="AH23" i="9"/>
  <c r="AK23" i="9" s="1"/>
  <c r="BA27" i="9"/>
  <c r="AH22" i="9"/>
  <c r="AK22" i="9" s="1"/>
  <c r="BA25" i="10"/>
  <c r="AG25" i="10"/>
  <c r="AZ25" i="10"/>
  <c r="AI23" i="12"/>
  <c r="AJ23" i="12" s="1"/>
  <c r="AM23" i="12" s="1"/>
  <c r="AM20" i="9"/>
  <c r="BD20" i="12"/>
  <c r="AK22" i="12"/>
  <c r="BB21" i="12"/>
  <c r="BC21" i="12" s="1"/>
  <c r="AI22" i="12"/>
  <c r="AJ22" i="12" s="1"/>
  <c r="AM22" i="12" s="1"/>
  <c r="AG24" i="12"/>
  <c r="AH25" i="12"/>
  <c r="AK25" i="12" s="1"/>
  <c r="AG25" i="12"/>
  <c r="AH26" i="12"/>
  <c r="AK26" i="12" s="1"/>
  <c r="AZ23" i="12"/>
  <c r="BA24" i="12" s="1"/>
  <c r="AJ21" i="12"/>
  <c r="BF26" i="9"/>
  <c r="BF27" i="13"/>
  <c r="AM26" i="13"/>
  <c r="BF26" i="11"/>
  <c r="AM25" i="11"/>
  <c r="BD25" i="11"/>
  <c r="BF26" i="12"/>
  <c r="AR23" i="9"/>
  <c r="AS23" i="9" s="1"/>
  <c r="BC21" i="9"/>
  <c r="BB23" i="10"/>
  <c r="BC23" i="10" s="1"/>
  <c r="BY24" i="9"/>
  <c r="BZ24" i="9" s="1"/>
  <c r="CA24" i="9" s="1"/>
  <c r="AX24" i="10"/>
  <c r="AF24" i="10"/>
  <c r="AM21" i="10"/>
  <c r="BM24" i="10"/>
  <c r="AB24" i="10"/>
  <c r="AC24" i="10" s="1"/>
  <c r="BU24" i="10"/>
  <c r="AI23" i="10"/>
  <c r="AJ23" i="10" s="1"/>
  <c r="V25" i="10"/>
  <c r="AK24" i="10"/>
  <c r="BB24" i="10"/>
  <c r="AS24" i="10"/>
  <c r="BG28" i="17"/>
  <c r="AN27" i="17"/>
  <c r="AR25" i="10"/>
  <c r="AW25" i="10"/>
  <c r="BD22" i="10"/>
  <c r="AM22" i="10"/>
  <c r="AE24" i="10"/>
  <c r="Z25" i="10"/>
  <c r="Y25" i="10"/>
  <c r="AQ25" i="10"/>
  <c r="AP25" i="10"/>
  <c r="AO25" i="10"/>
  <c r="AD25" i="10"/>
  <c r="AA25" i="10"/>
  <c r="AT25" i="10"/>
  <c r="AU25" i="10"/>
  <c r="AV25" i="10"/>
  <c r="BJ25" i="10" s="1"/>
  <c r="AY25" i="10"/>
  <c r="BI24" i="10"/>
  <c r="BH24" i="10"/>
  <c r="BJ24" i="10"/>
  <c r="BO25" i="10"/>
  <c r="BR25" i="10"/>
  <c r="BQ25" i="10"/>
  <c r="BS25" i="10"/>
  <c r="BP25" i="10"/>
  <c r="BN23" i="10"/>
  <c r="BV23" i="10" s="1"/>
  <c r="BW23" i="10" s="1"/>
  <c r="BV22" i="10"/>
  <c r="BW22" i="10" s="1"/>
  <c r="BB27" i="11" l="1"/>
  <c r="BC27" i="11" s="1"/>
  <c r="BA28" i="11"/>
  <c r="AZ28" i="11"/>
  <c r="BB22" i="12"/>
  <c r="BC22" i="12" s="1"/>
  <c r="BD22" i="12" s="1"/>
  <c r="BD22" i="9"/>
  <c r="BN22" i="9"/>
  <c r="BL23" i="9"/>
  <c r="BN23" i="9" s="1"/>
  <c r="BV23" i="9" s="1"/>
  <c r="BW23" i="9" s="1"/>
  <c r="BB23" i="9"/>
  <c r="BC23" i="9" s="1"/>
  <c r="BT24" i="9" a="1"/>
  <c r="BT24" i="9" s="1"/>
  <c r="AY24" i="9"/>
  <c r="AZ28" i="9"/>
  <c r="AZ29" i="9" s="1"/>
  <c r="AI23" i="9"/>
  <c r="AJ23" i="9" s="1"/>
  <c r="AM23" i="9" s="1"/>
  <c r="AG24" i="9"/>
  <c r="CJ19" i="9"/>
  <c r="CH20" i="9"/>
  <c r="AH25" i="9"/>
  <c r="AK25" i="9" s="1"/>
  <c r="AI22" i="9"/>
  <c r="AJ22" i="9" s="1"/>
  <c r="BY24" i="10" a="1"/>
  <c r="BY24" i="10" s="1"/>
  <c r="AZ26" i="10"/>
  <c r="BA26" i="10"/>
  <c r="AH26" i="10"/>
  <c r="AG26" i="10"/>
  <c r="AM21" i="12"/>
  <c r="BD21" i="12"/>
  <c r="AI25" i="12"/>
  <c r="AJ25" i="12" s="1"/>
  <c r="AM25" i="12" s="1"/>
  <c r="AZ24" i="12"/>
  <c r="BA25" i="12" s="1"/>
  <c r="BB23" i="12"/>
  <c r="BC23" i="12" s="1"/>
  <c r="AI24" i="12"/>
  <c r="AJ24" i="12" s="1"/>
  <c r="AM24" i="12" s="1"/>
  <c r="AH27" i="12"/>
  <c r="AK27" i="12" s="1"/>
  <c r="AG26" i="12"/>
  <c r="BF27" i="9"/>
  <c r="BF28" i="13"/>
  <c r="AM27" i="13"/>
  <c r="BF27" i="11"/>
  <c r="BD26" i="11"/>
  <c r="AM26" i="11"/>
  <c r="BF27" i="12"/>
  <c r="AR24" i="9"/>
  <c r="AS24" i="9" s="1"/>
  <c r="BD21" i="9"/>
  <c r="BY25" i="9"/>
  <c r="BZ25" i="9" s="1"/>
  <c r="CA25" i="9" s="1"/>
  <c r="AX25" i="10"/>
  <c r="AF25" i="10"/>
  <c r="BM25" i="10"/>
  <c r="AB25" i="10"/>
  <c r="AC25" i="10" s="1"/>
  <c r="AI24" i="10"/>
  <c r="AJ24" i="10" s="1"/>
  <c r="BU25" i="10"/>
  <c r="AK25" i="10"/>
  <c r="V26" i="10"/>
  <c r="AS25" i="10"/>
  <c r="BG29" i="17"/>
  <c r="AN28" i="17"/>
  <c r="AR26" i="10"/>
  <c r="AW26" i="10"/>
  <c r="BK26" i="10" s="1"/>
  <c r="BD23" i="10"/>
  <c r="AM23" i="10"/>
  <c r="BC24" i="10"/>
  <c r="AD26" i="10"/>
  <c r="Y26" i="10"/>
  <c r="AA26" i="10"/>
  <c r="Z26" i="10"/>
  <c r="AT26" i="10"/>
  <c r="AQ26" i="10"/>
  <c r="AO26" i="10"/>
  <c r="AP26" i="10"/>
  <c r="AU26" i="10"/>
  <c r="AV26" i="10"/>
  <c r="BJ26" i="10" s="1"/>
  <c r="AY26" i="10"/>
  <c r="BL26" i="10" s="1"/>
  <c r="BL25" i="10"/>
  <c r="AE25" i="10"/>
  <c r="BN24" i="10"/>
  <c r="BV24" i="10" s="1"/>
  <c r="BW24" i="10" s="1"/>
  <c r="BI25" i="10"/>
  <c r="BS26" i="10"/>
  <c r="BP26" i="10"/>
  <c r="BO26" i="10"/>
  <c r="BR26" i="10"/>
  <c r="BQ26" i="10"/>
  <c r="BK25" i="10"/>
  <c r="BH25" i="10"/>
  <c r="BB28" i="11" l="1"/>
  <c r="BC28" i="11" s="1"/>
  <c r="BA29" i="11"/>
  <c r="AZ29" i="11"/>
  <c r="BA27" i="10"/>
  <c r="CC23" i="9" a="1"/>
  <c r="CC23" i="9" s="1"/>
  <c r="BD23" i="9"/>
  <c r="BT25" i="9" a="1"/>
  <c r="BT25" i="9" s="1"/>
  <c r="AY25" i="9"/>
  <c r="BL24" i="9"/>
  <c r="BN24" i="9" s="1"/>
  <c r="BB24" i="9"/>
  <c r="BC24" i="9" s="1"/>
  <c r="BU24" i="9"/>
  <c r="BV22" i="9"/>
  <c r="CG21" i="9"/>
  <c r="BA29" i="9"/>
  <c r="BA30" i="9"/>
  <c r="AZ30" i="9"/>
  <c r="BA31" i="9" s="1"/>
  <c r="AG25" i="9"/>
  <c r="AI24" i="9"/>
  <c r="AJ24" i="9" s="1"/>
  <c r="AM24" i="9" s="1"/>
  <c r="AM22" i="9"/>
  <c r="BY25" i="10" a="1"/>
  <c r="BY25" i="10" s="1"/>
  <c r="AH27" i="10"/>
  <c r="AG27" i="10"/>
  <c r="AZ27" i="10"/>
  <c r="AZ25" i="12"/>
  <c r="BA26" i="12" s="1"/>
  <c r="BD23" i="12"/>
  <c r="BB24" i="12"/>
  <c r="BC24" i="12" s="1"/>
  <c r="BD24" i="12" s="1"/>
  <c r="AI26" i="12"/>
  <c r="AH28" i="12"/>
  <c r="AK28" i="12" s="1"/>
  <c r="AG27" i="12"/>
  <c r="BF28" i="9"/>
  <c r="BF29" i="13"/>
  <c r="AM28" i="13"/>
  <c r="BF28" i="11"/>
  <c r="BD27" i="11"/>
  <c r="AM27" i="11"/>
  <c r="BF28" i="12"/>
  <c r="AK26" i="10"/>
  <c r="AR25" i="9"/>
  <c r="AS25" i="9" s="1"/>
  <c r="BB25" i="10"/>
  <c r="BC25" i="10" s="1"/>
  <c r="BY26" i="9"/>
  <c r="BZ26" i="9" s="1"/>
  <c r="CA26" i="9" s="1"/>
  <c r="AF26" i="10"/>
  <c r="AX26" i="10"/>
  <c r="BM26" i="10"/>
  <c r="BY26" i="10" s="1" a="1"/>
  <c r="BY26" i="10" s="1"/>
  <c r="AB26" i="10"/>
  <c r="AC26" i="10" s="1"/>
  <c r="AI25" i="10"/>
  <c r="AJ25" i="10" s="1"/>
  <c r="BU26" i="10"/>
  <c r="V27" i="10"/>
  <c r="BG30" i="17"/>
  <c r="AN29" i="17"/>
  <c r="AS26" i="10"/>
  <c r="AR27" i="10"/>
  <c r="AW27" i="10"/>
  <c r="BK27" i="10" s="1"/>
  <c r="BD24" i="10"/>
  <c r="AM24" i="10"/>
  <c r="AE26" i="10"/>
  <c r="AQ27" i="10"/>
  <c r="AA27" i="10"/>
  <c r="AP27" i="10"/>
  <c r="AO27" i="10"/>
  <c r="AD27" i="10"/>
  <c r="Z27" i="10"/>
  <c r="Y27" i="10"/>
  <c r="AT27" i="10"/>
  <c r="AU27" i="10"/>
  <c r="AV27" i="10"/>
  <c r="BJ27" i="10" s="1"/>
  <c r="AY27" i="10"/>
  <c r="BL27" i="10" s="1"/>
  <c r="BQ27" i="10"/>
  <c r="BS27" i="10"/>
  <c r="BR27" i="10"/>
  <c r="BP27" i="10"/>
  <c r="BO27" i="10"/>
  <c r="BN25" i="10"/>
  <c r="BH26" i="10"/>
  <c r="BI26" i="10"/>
  <c r="BB29" i="11" l="1"/>
  <c r="BC29" i="11" s="1"/>
  <c r="BA30" i="11"/>
  <c r="AZ30" i="11"/>
  <c r="BB25" i="12"/>
  <c r="BC25" i="12" s="1"/>
  <c r="BD25" i="12" s="1"/>
  <c r="BD24" i="9"/>
  <c r="BV24" i="9"/>
  <c r="BW24" i="9" s="1"/>
  <c r="BW22" i="9"/>
  <c r="BT26" i="9" a="1"/>
  <c r="BT26" i="9" s="1"/>
  <c r="BU26" i="9" s="1"/>
  <c r="AY26" i="9"/>
  <c r="CC24" i="9" a="1"/>
  <c r="CC24" i="9" s="1"/>
  <c r="BU25" i="9"/>
  <c r="BL25" i="9"/>
  <c r="CC25" i="9" s="1" a="1"/>
  <c r="CC25" i="9" s="1"/>
  <c r="BB25" i="9"/>
  <c r="BC25" i="9" s="1"/>
  <c r="AZ31" i="9"/>
  <c r="CJ20" i="9"/>
  <c r="CH21" i="9"/>
  <c r="CG22" i="9" s="1"/>
  <c r="AI25" i="9"/>
  <c r="AJ25" i="9" s="1"/>
  <c r="AM25" i="9" s="1"/>
  <c r="AG26" i="9"/>
  <c r="AH26" i="9"/>
  <c r="BA28" i="10"/>
  <c r="AZ28" i="10"/>
  <c r="AG28" i="10"/>
  <c r="AH29" i="10" s="1"/>
  <c r="AH28" i="10"/>
  <c r="AI27" i="12"/>
  <c r="AJ27" i="12" s="1"/>
  <c r="AM27" i="12" s="1"/>
  <c r="AJ26" i="12"/>
  <c r="AG28" i="12"/>
  <c r="AZ26" i="12"/>
  <c r="BA27" i="12" s="1"/>
  <c r="BF29" i="9"/>
  <c r="BF30" i="13"/>
  <c r="AM29" i="13"/>
  <c r="BF29" i="11"/>
  <c r="BD28" i="11"/>
  <c r="AM28" i="11"/>
  <c r="BF29" i="12"/>
  <c r="AK27" i="10"/>
  <c r="AR26" i="9"/>
  <c r="AS26" i="9" s="1"/>
  <c r="BB26" i="10"/>
  <c r="BC26" i="10" s="1"/>
  <c r="BY27" i="9"/>
  <c r="BZ27" i="9" s="1"/>
  <c r="CA27" i="9" s="1"/>
  <c r="AF27" i="10"/>
  <c r="AX27" i="10"/>
  <c r="BM27" i="10"/>
  <c r="BY27" i="10" s="1" a="1"/>
  <c r="BY27" i="10" s="1"/>
  <c r="AB27" i="10"/>
  <c r="AC27" i="10" s="1"/>
  <c r="AI26" i="10"/>
  <c r="AJ26" i="10" s="1"/>
  <c r="BU27" i="10"/>
  <c r="V28" i="10"/>
  <c r="AS27" i="10"/>
  <c r="BG31" i="17"/>
  <c r="AN30" i="17"/>
  <c r="AR28" i="10"/>
  <c r="AW28" i="10"/>
  <c r="BK28" i="10" s="1"/>
  <c r="BD25" i="10"/>
  <c r="AM25" i="10"/>
  <c r="AP28" i="10"/>
  <c r="AT28" i="10"/>
  <c r="AQ28" i="10"/>
  <c r="AD28" i="10"/>
  <c r="AA28" i="10"/>
  <c r="Z28" i="10"/>
  <c r="AO28" i="10"/>
  <c r="Y28" i="10"/>
  <c r="AU28" i="10"/>
  <c r="AV28" i="10"/>
  <c r="BJ28" i="10" s="1"/>
  <c r="AY28" i="10"/>
  <c r="BL28" i="10" s="1"/>
  <c r="AE27" i="10"/>
  <c r="BV25" i="10"/>
  <c r="BW25" i="10" s="1"/>
  <c r="BH27" i="10"/>
  <c r="BP28" i="10"/>
  <c r="BR28" i="10"/>
  <c r="BQ28" i="10"/>
  <c r="BS28" i="10"/>
  <c r="BO28" i="10"/>
  <c r="BI27" i="10"/>
  <c r="BN26" i="10"/>
  <c r="BV26" i="10" s="1"/>
  <c r="BW26" i="10" s="1"/>
  <c r="BB30" i="11" l="1"/>
  <c r="BC30" i="11" s="1"/>
  <c r="BA31" i="11"/>
  <c r="AZ31" i="11"/>
  <c r="BA29" i="10"/>
  <c r="BD25" i="9"/>
  <c r="BL26" i="9"/>
  <c r="BN26" i="9" s="1"/>
  <c r="BV26" i="9" s="1"/>
  <c r="BW26" i="9" s="1"/>
  <c r="BB26" i="9"/>
  <c r="BC26" i="9" s="1"/>
  <c r="BN25" i="9"/>
  <c r="BV25" i="9" s="1"/>
  <c r="BW25" i="9" s="1"/>
  <c r="BT27" i="9" a="1"/>
  <c r="BT27" i="9" s="1"/>
  <c r="BU27" i="9" s="1"/>
  <c r="AY27" i="9"/>
  <c r="BA32" i="9"/>
  <c r="AZ32" i="9"/>
  <c r="AK26" i="9"/>
  <c r="AG27" i="9"/>
  <c r="AI26" i="9"/>
  <c r="AJ26" i="9" s="1"/>
  <c r="AM26" i="9" s="1"/>
  <c r="AH27" i="9"/>
  <c r="AK27" i="9" s="1"/>
  <c r="AG29" i="10"/>
  <c r="AZ29" i="10"/>
  <c r="AM26" i="12"/>
  <c r="BB26" i="12"/>
  <c r="BC26" i="12" s="1"/>
  <c r="BD26" i="12" s="1"/>
  <c r="AZ27" i="12"/>
  <c r="BA28" i="12" s="1"/>
  <c r="AI28" i="12"/>
  <c r="AJ28" i="12" s="1"/>
  <c r="AM28" i="12" s="1"/>
  <c r="AG29" i="12"/>
  <c r="AH29" i="12"/>
  <c r="AK29" i="12" s="1"/>
  <c r="BF30" i="9"/>
  <c r="BF31" i="13"/>
  <c r="AM30" i="13"/>
  <c r="BF30" i="11"/>
  <c r="BD29" i="11"/>
  <c r="AM29" i="11"/>
  <c r="BF30" i="12"/>
  <c r="AK28" i="10"/>
  <c r="AR27" i="9"/>
  <c r="AS27" i="9" s="1"/>
  <c r="BB27" i="10"/>
  <c r="BC27" i="10" s="1"/>
  <c r="BY28" i="9"/>
  <c r="BZ28" i="9" s="1"/>
  <c r="CA28" i="9" s="1"/>
  <c r="AX28" i="10"/>
  <c r="AF28" i="10"/>
  <c r="BM28" i="10"/>
  <c r="BY28" i="10" s="1" a="1"/>
  <c r="BY28" i="10" s="1"/>
  <c r="AB28" i="10"/>
  <c r="AC28" i="10" s="1"/>
  <c r="AI27" i="10"/>
  <c r="AJ27" i="10" s="1"/>
  <c r="BU28" i="10"/>
  <c r="V29" i="10"/>
  <c r="BG32" i="17"/>
  <c r="AN31" i="17"/>
  <c r="AS28" i="10"/>
  <c r="AR29" i="10"/>
  <c r="AW29" i="10"/>
  <c r="BK29" i="10" s="1"/>
  <c r="BD26" i="10"/>
  <c r="AM26" i="10"/>
  <c r="Z29" i="10"/>
  <c r="Y29" i="10"/>
  <c r="AQ29" i="10"/>
  <c r="AP29" i="10"/>
  <c r="AO29" i="10"/>
  <c r="AA29" i="10"/>
  <c r="AT29" i="10"/>
  <c r="AD29" i="10"/>
  <c r="AU29" i="10"/>
  <c r="AV29" i="10"/>
  <c r="BJ29" i="10" s="1"/>
  <c r="AY29" i="10"/>
  <c r="BL29" i="10" s="1"/>
  <c r="AE28" i="10"/>
  <c r="BI28" i="10"/>
  <c r="BP29" i="10"/>
  <c r="BS29" i="10"/>
  <c r="BR29" i="10"/>
  <c r="BQ29" i="10"/>
  <c r="BO29" i="10"/>
  <c r="BN27" i="10"/>
  <c r="BV27" i="10" s="1"/>
  <c r="BW27" i="10" s="1"/>
  <c r="BH28" i="10"/>
  <c r="BB31" i="11" l="1"/>
  <c r="BC31" i="11" s="1"/>
  <c r="BA32" i="11"/>
  <c r="AZ32" i="11"/>
  <c r="BD26" i="9"/>
  <c r="CC26" i="9" a="1"/>
  <c r="CC26" i="9" s="1"/>
  <c r="BT28" i="9" a="1"/>
  <c r="BT28" i="9" s="1"/>
  <c r="BU28" i="9" s="1"/>
  <c r="AY28" i="9"/>
  <c r="BL27" i="9"/>
  <c r="CC27" i="9" s="1" a="1"/>
  <c r="CC27" i="9" s="1"/>
  <c r="BB27" i="9"/>
  <c r="BC27" i="9" s="1"/>
  <c r="BD27" i="9" s="1"/>
  <c r="BA33" i="9"/>
  <c r="AZ33" i="9"/>
  <c r="CJ21" i="9"/>
  <c r="CH22" i="9"/>
  <c r="AI27" i="9"/>
  <c r="AJ27" i="9" s="1"/>
  <c r="AG28" i="9"/>
  <c r="AH28" i="9"/>
  <c r="AK28" i="9" s="1"/>
  <c r="BA30" i="10"/>
  <c r="AH30" i="10"/>
  <c r="AG30" i="10"/>
  <c r="AZ30" i="10"/>
  <c r="AZ28" i="12"/>
  <c r="BA29" i="12" s="1"/>
  <c r="BB27" i="12"/>
  <c r="BC27" i="12" s="1"/>
  <c r="AI29" i="12"/>
  <c r="AJ29" i="12" s="1"/>
  <c r="AM29" i="12" s="1"/>
  <c r="AG30" i="12"/>
  <c r="AH30" i="12"/>
  <c r="AK30" i="12" s="1"/>
  <c r="BF31" i="9"/>
  <c r="BF32" i="13"/>
  <c r="AM31" i="13"/>
  <c r="BF31" i="11"/>
  <c r="AM30" i="11"/>
  <c r="BD30" i="11"/>
  <c r="BF31" i="12"/>
  <c r="AK29" i="10"/>
  <c r="AR28" i="9"/>
  <c r="AS28" i="9" s="1"/>
  <c r="BB28" i="10"/>
  <c r="BC28" i="10" s="1"/>
  <c r="BY29" i="9"/>
  <c r="BZ29" i="9" s="1"/>
  <c r="CA29" i="9" s="1"/>
  <c r="AF29" i="10"/>
  <c r="AX29" i="10"/>
  <c r="BM29" i="10"/>
  <c r="BY29" i="10" s="1" a="1"/>
  <c r="BY29" i="10" s="1"/>
  <c r="AB29" i="10"/>
  <c r="AC29" i="10" s="1"/>
  <c r="AI28" i="10"/>
  <c r="AJ28" i="10" s="1"/>
  <c r="BU29" i="10"/>
  <c r="V30" i="10"/>
  <c r="AS29" i="10"/>
  <c r="BG33" i="17"/>
  <c r="AN32" i="17"/>
  <c r="AR30" i="10"/>
  <c r="AW30" i="10"/>
  <c r="BK30" i="10" s="1"/>
  <c r="BD27" i="10"/>
  <c r="AM27" i="10"/>
  <c r="AE29" i="10"/>
  <c r="AD30" i="10"/>
  <c r="Y30" i="10"/>
  <c r="AA30" i="10"/>
  <c r="Z30" i="10"/>
  <c r="AT30" i="10"/>
  <c r="AQ30" i="10"/>
  <c r="BA31" i="10" s="1"/>
  <c r="AO30" i="10"/>
  <c r="AP30" i="10"/>
  <c r="AU30" i="10"/>
  <c r="AV30" i="10"/>
  <c r="BJ30" i="10" s="1"/>
  <c r="AY30" i="10"/>
  <c r="BL30" i="10" s="1"/>
  <c r="BN28" i="10"/>
  <c r="BV28" i="10" s="1"/>
  <c r="BW28" i="10" s="1"/>
  <c r="BR30" i="10"/>
  <c r="BQ30" i="10"/>
  <c r="BP30" i="10"/>
  <c r="BO30" i="10"/>
  <c r="BS30" i="10"/>
  <c r="BI29" i="10"/>
  <c r="BH29" i="10"/>
  <c r="AH31" i="10" l="1"/>
  <c r="BB32" i="11"/>
  <c r="BC32" i="11" s="1"/>
  <c r="BA33" i="11"/>
  <c r="AZ33" i="11"/>
  <c r="BN27" i="9"/>
  <c r="BL28" i="9"/>
  <c r="BN28" i="9" s="1"/>
  <c r="BV28" i="9" s="1"/>
  <c r="BW28" i="9" s="1"/>
  <c r="BB28" i="9"/>
  <c r="BC28" i="9" s="1"/>
  <c r="BT29" i="9" a="1"/>
  <c r="BT29" i="9" s="1"/>
  <c r="BU29" i="9" s="1"/>
  <c r="AY29" i="9"/>
  <c r="CG23" i="9"/>
  <c r="AZ34" i="9"/>
  <c r="BA34" i="9"/>
  <c r="AI28" i="9"/>
  <c r="AJ28" i="9" s="1"/>
  <c r="AM28" i="9" s="1"/>
  <c r="AG29" i="9"/>
  <c r="AH29" i="9"/>
  <c r="AK29" i="9" s="1"/>
  <c r="AM27" i="9"/>
  <c r="AZ31" i="10"/>
  <c r="AG31" i="10"/>
  <c r="BD27" i="12"/>
  <c r="AI30" i="12"/>
  <c r="AJ30" i="12" s="1"/>
  <c r="AM30" i="12" s="1"/>
  <c r="AG31" i="12"/>
  <c r="AH31" i="12"/>
  <c r="AK31" i="12" s="1"/>
  <c r="BB28" i="12"/>
  <c r="BC28" i="12" s="1"/>
  <c r="AZ29" i="12"/>
  <c r="BA30" i="12" s="1"/>
  <c r="BF32" i="9"/>
  <c r="BF33" i="13"/>
  <c r="AM32" i="13"/>
  <c r="BF32" i="11"/>
  <c r="AM31" i="11"/>
  <c r="BD31" i="11"/>
  <c r="BF32" i="12"/>
  <c r="AK30" i="10"/>
  <c r="AR29" i="9"/>
  <c r="AS29" i="9" s="1"/>
  <c r="BB29" i="10"/>
  <c r="BC29" i="10" s="1"/>
  <c r="BY30" i="9"/>
  <c r="BZ30" i="9" s="1"/>
  <c r="CA30" i="9" s="1"/>
  <c r="AF30" i="10"/>
  <c r="AX30" i="10"/>
  <c r="BM30" i="10"/>
  <c r="BY30" i="10" s="1" a="1"/>
  <c r="BY30" i="10" s="1"/>
  <c r="AB30" i="10"/>
  <c r="AC30" i="10" s="1"/>
  <c r="AI29" i="10"/>
  <c r="AJ29" i="10" s="1"/>
  <c r="BU30" i="10"/>
  <c r="V31" i="10"/>
  <c r="AS30" i="10"/>
  <c r="BG34" i="17"/>
  <c r="AN33" i="17"/>
  <c r="AR31" i="10"/>
  <c r="AW31" i="10"/>
  <c r="BK31" i="10" s="1"/>
  <c r="BD28" i="10"/>
  <c r="AM28" i="10"/>
  <c r="AQ31" i="10"/>
  <c r="AP31" i="10"/>
  <c r="AO31" i="10"/>
  <c r="AD31" i="10"/>
  <c r="Z31" i="10"/>
  <c r="Y31" i="10"/>
  <c r="AT31" i="10"/>
  <c r="AA31" i="10"/>
  <c r="AU31" i="10"/>
  <c r="AV31" i="10"/>
  <c r="BJ31" i="10" s="1"/>
  <c r="AY31" i="10"/>
  <c r="AE30" i="10"/>
  <c r="BN29" i="10"/>
  <c r="BV29" i="10" s="1"/>
  <c r="BW29" i="10" s="1"/>
  <c r="BH30" i="10"/>
  <c r="BI30" i="10"/>
  <c r="BR31" i="10"/>
  <c r="BP31" i="10"/>
  <c r="BO31" i="10"/>
  <c r="BS31" i="10"/>
  <c r="BQ31" i="10"/>
  <c r="BB33" i="11" l="1"/>
  <c r="BC33" i="11" s="1"/>
  <c r="BA34" i="11"/>
  <c r="AZ34" i="11"/>
  <c r="BD28" i="9"/>
  <c r="BT30" i="9" a="1"/>
  <c r="BT30" i="9" s="1"/>
  <c r="AY30" i="9"/>
  <c r="BL29" i="9"/>
  <c r="BN29" i="9" s="1"/>
  <c r="BV29" i="9" s="1"/>
  <c r="BW29" i="9" s="1"/>
  <c r="BB29" i="9"/>
  <c r="BC29" i="9" s="1"/>
  <c r="CC28" i="9" a="1"/>
  <c r="CC28" i="9" s="1"/>
  <c r="BV27" i="9"/>
  <c r="BW27" i="9" s="1"/>
  <c r="AZ35" i="9"/>
  <c r="BA35" i="9"/>
  <c r="CJ22" i="9"/>
  <c r="CH23" i="9"/>
  <c r="AI29" i="9"/>
  <c r="AJ29" i="9" s="1"/>
  <c r="AG30" i="9"/>
  <c r="AH30" i="9"/>
  <c r="AK30" i="9" s="1"/>
  <c r="BA32" i="10"/>
  <c r="AG32" i="10"/>
  <c r="AH32" i="10"/>
  <c r="AZ32" i="10"/>
  <c r="BD28" i="12"/>
  <c r="AI31" i="12"/>
  <c r="AJ31" i="12" s="1"/>
  <c r="AM31" i="12" s="1"/>
  <c r="AH32" i="12"/>
  <c r="AK32" i="12" s="1"/>
  <c r="AG32" i="12"/>
  <c r="BB29" i="12"/>
  <c r="BC29" i="12" s="1"/>
  <c r="AZ30" i="12"/>
  <c r="BA31" i="12" s="1"/>
  <c r="BF33" i="9"/>
  <c r="BF34" i="13"/>
  <c r="AM33" i="13"/>
  <c r="BF33" i="11"/>
  <c r="BD32" i="11"/>
  <c r="AM32" i="11"/>
  <c r="BF33" i="12"/>
  <c r="AR30" i="9"/>
  <c r="AS30" i="9" s="1"/>
  <c r="BB30" i="10"/>
  <c r="BC30" i="10" s="1"/>
  <c r="BY31" i="9"/>
  <c r="BZ31" i="9" s="1"/>
  <c r="CA31" i="9" s="1"/>
  <c r="AF31" i="10"/>
  <c r="AX31" i="10"/>
  <c r="BM31" i="10"/>
  <c r="AB31" i="10"/>
  <c r="AC31" i="10" s="1"/>
  <c r="AI30" i="10"/>
  <c r="AJ30" i="10" s="1"/>
  <c r="BU31" i="10"/>
  <c r="AK31" i="10"/>
  <c r="V32" i="10"/>
  <c r="AS31" i="10"/>
  <c r="BG35" i="17"/>
  <c r="AN34" i="17"/>
  <c r="AR32" i="10"/>
  <c r="AW32" i="10"/>
  <c r="BK32" i="10" s="1"/>
  <c r="BD29" i="10"/>
  <c r="AM29" i="10"/>
  <c r="AE31" i="10"/>
  <c r="BL31" i="10"/>
  <c r="BY31" i="10" s="1" a="1"/>
  <c r="BY31" i="10" s="1"/>
  <c r="AP32" i="10"/>
  <c r="AO32" i="10"/>
  <c r="AT32" i="10"/>
  <c r="AQ32" i="10"/>
  <c r="AD32" i="10"/>
  <c r="AA32" i="10"/>
  <c r="Z32" i="10"/>
  <c r="Y32" i="10"/>
  <c r="AU32" i="10"/>
  <c r="AV32" i="10"/>
  <c r="BJ32" i="10" s="1"/>
  <c r="AY32" i="10"/>
  <c r="BN30" i="10"/>
  <c r="BV30" i="10" s="1"/>
  <c r="BW30" i="10" s="1"/>
  <c r="BH31" i="10"/>
  <c r="BI31" i="10"/>
  <c r="BR32" i="10"/>
  <c r="BP32" i="10"/>
  <c r="BO32" i="10"/>
  <c r="BS32" i="10"/>
  <c r="BQ32" i="10"/>
  <c r="BA33" i="10" l="1"/>
  <c r="BB34" i="11"/>
  <c r="BC34" i="11" s="1"/>
  <c r="BA35" i="11"/>
  <c r="AZ35" i="11"/>
  <c r="CC29" i="9" a="1"/>
  <c r="CC29" i="9" s="1"/>
  <c r="BD29" i="9"/>
  <c r="BT31" i="9" a="1"/>
  <c r="BT31" i="9" s="1"/>
  <c r="BU31" i="9" s="1"/>
  <c r="AY31" i="9"/>
  <c r="BL30" i="9"/>
  <c r="BN30" i="9" s="1"/>
  <c r="BB30" i="9"/>
  <c r="BC30" i="9" s="1"/>
  <c r="BU30" i="9"/>
  <c r="BA36" i="9"/>
  <c r="AZ36" i="9"/>
  <c r="AG31" i="9"/>
  <c r="AI30" i="9"/>
  <c r="AJ30" i="9" s="1"/>
  <c r="AM30" i="9" s="1"/>
  <c r="AH31" i="9"/>
  <c r="AK31" i="9" s="1"/>
  <c r="AM29" i="9"/>
  <c r="AZ33" i="10"/>
  <c r="AG33" i="10"/>
  <c r="AH33" i="10"/>
  <c r="BD29" i="12"/>
  <c r="AZ31" i="12"/>
  <c r="BA32" i="12" s="1"/>
  <c r="BB30" i="12"/>
  <c r="BC30" i="12" s="1"/>
  <c r="AI32" i="12"/>
  <c r="AJ32" i="12" s="1"/>
  <c r="AM32" i="12" s="1"/>
  <c r="AH33" i="12"/>
  <c r="AK33" i="12" s="1"/>
  <c r="AG33" i="12"/>
  <c r="BF34" i="9"/>
  <c r="BF35" i="13"/>
  <c r="AM34" i="13"/>
  <c r="BF34" i="11"/>
  <c r="AM33" i="11"/>
  <c r="BD33" i="11"/>
  <c r="BF34" i="12"/>
  <c r="AR31" i="9"/>
  <c r="AS31" i="9" s="1"/>
  <c r="BB31" i="10"/>
  <c r="BC31" i="10" s="1"/>
  <c r="BY32" i="9"/>
  <c r="BZ32" i="9" s="1"/>
  <c r="CA32" i="9" s="1"/>
  <c r="AX32" i="10"/>
  <c r="AF32" i="10"/>
  <c r="BM32" i="10"/>
  <c r="AB32" i="10"/>
  <c r="AC32" i="10" s="1"/>
  <c r="AI31" i="10"/>
  <c r="AJ31" i="10" s="1"/>
  <c r="BU32" i="10"/>
  <c r="AK32" i="10"/>
  <c r="V33" i="10"/>
  <c r="AS32" i="10"/>
  <c r="BG36" i="17"/>
  <c r="AN35" i="17"/>
  <c r="AR33" i="10"/>
  <c r="AW33" i="10"/>
  <c r="BK33" i="10" s="1"/>
  <c r="BD30" i="10"/>
  <c r="AM30" i="10"/>
  <c r="BL32" i="10"/>
  <c r="BY32" i="10" s="1" a="1"/>
  <c r="BY32" i="10" s="1"/>
  <c r="AE32" i="10"/>
  <c r="Z33" i="10"/>
  <c r="Y33" i="10"/>
  <c r="AQ33" i="10"/>
  <c r="BA34" i="10" s="1"/>
  <c r="AP33" i="10"/>
  <c r="AO33" i="10"/>
  <c r="AT33" i="10"/>
  <c r="AD33" i="10"/>
  <c r="AA33" i="10"/>
  <c r="AU33" i="10"/>
  <c r="AV33" i="10"/>
  <c r="BJ33" i="10" s="1"/>
  <c r="AY33" i="10"/>
  <c r="BL33" i="10" s="1"/>
  <c r="BH32" i="10"/>
  <c r="BI32" i="10"/>
  <c r="BN31" i="10"/>
  <c r="BV31" i="10" s="1"/>
  <c r="BW31" i="10" s="1"/>
  <c r="BP33" i="10"/>
  <c r="BS33" i="10"/>
  <c r="BO33" i="10"/>
  <c r="BQ33" i="10"/>
  <c r="BR33" i="10"/>
  <c r="BB35" i="11" l="1"/>
  <c r="BC35" i="11" s="1"/>
  <c r="BA36" i="11"/>
  <c r="AZ36" i="11"/>
  <c r="BV30" i="9"/>
  <c r="BW30" i="9" s="1"/>
  <c r="CC30" i="9" a="1"/>
  <c r="CC30" i="9" s="1"/>
  <c r="BD30" i="9"/>
  <c r="BT32" i="9" a="1"/>
  <c r="BT32" i="9" s="1"/>
  <c r="BU32" i="9" s="1"/>
  <c r="AY32" i="9"/>
  <c r="BL31" i="9"/>
  <c r="BN31" i="9" s="1"/>
  <c r="BV31" i="9" s="1"/>
  <c r="BW31" i="9" s="1"/>
  <c r="BB31" i="9"/>
  <c r="BC31" i="9" s="1"/>
  <c r="CJ23" i="9"/>
  <c r="CG24" i="9"/>
  <c r="AZ37" i="9"/>
  <c r="BA37" i="9"/>
  <c r="CH24" i="9"/>
  <c r="AG32" i="9"/>
  <c r="AI31" i="9"/>
  <c r="AJ31" i="9" s="1"/>
  <c r="AM31" i="9" s="1"/>
  <c r="AH32" i="9"/>
  <c r="AK32" i="9" s="1"/>
  <c r="AZ34" i="10"/>
  <c r="AG34" i="10"/>
  <c r="AH34" i="10"/>
  <c r="BD30" i="12"/>
  <c r="AZ32" i="12"/>
  <c r="BA33" i="12" s="1"/>
  <c r="BB31" i="12"/>
  <c r="BC31" i="12" s="1"/>
  <c r="BD31" i="12" s="1"/>
  <c r="AI33" i="12"/>
  <c r="AJ33" i="12" s="1"/>
  <c r="AM33" i="12" s="1"/>
  <c r="AG34" i="12"/>
  <c r="AH34" i="12"/>
  <c r="AK34" i="12" s="1"/>
  <c r="BF35" i="9"/>
  <c r="BF36" i="13"/>
  <c r="AM35" i="13"/>
  <c r="BF35" i="11"/>
  <c r="BD34" i="11"/>
  <c r="AM34" i="11"/>
  <c r="BF35" i="12"/>
  <c r="AR32" i="9"/>
  <c r="AS32" i="9" s="1"/>
  <c r="BB32" i="10"/>
  <c r="BC32" i="10" s="1"/>
  <c r="BY33" i="9"/>
  <c r="BZ33" i="9" s="1"/>
  <c r="CA33" i="9" s="1"/>
  <c r="AX33" i="10"/>
  <c r="AF33" i="10"/>
  <c r="BM33" i="10"/>
  <c r="BY33" i="10" s="1" a="1"/>
  <c r="BY33" i="10" s="1"/>
  <c r="AB33" i="10"/>
  <c r="AC33" i="10" s="1"/>
  <c r="AK33" i="10"/>
  <c r="AI32" i="10"/>
  <c r="AJ32" i="10" s="1"/>
  <c r="BU33" i="10"/>
  <c r="V34" i="10"/>
  <c r="AS33" i="10"/>
  <c r="BG37" i="17"/>
  <c r="AN36" i="17"/>
  <c r="AR34" i="10"/>
  <c r="AW34" i="10"/>
  <c r="BK34" i="10" s="1"/>
  <c r="BD31" i="10"/>
  <c r="AM31" i="10"/>
  <c r="AD34" i="10"/>
  <c r="Y34" i="10"/>
  <c r="AA34" i="10"/>
  <c r="Z34" i="10"/>
  <c r="AT34" i="10"/>
  <c r="AQ34" i="10"/>
  <c r="BA35" i="10" s="1"/>
  <c r="AO34" i="10"/>
  <c r="AP34" i="10"/>
  <c r="AV34" i="10"/>
  <c r="BJ34" i="10" s="1"/>
  <c r="AU34" i="10"/>
  <c r="AY34" i="10"/>
  <c r="BL34" i="10" s="1"/>
  <c r="AE33" i="10"/>
  <c r="BP34" i="10"/>
  <c r="BQ34" i="10"/>
  <c r="BO34" i="10"/>
  <c r="BR34" i="10"/>
  <c r="BS34" i="10"/>
  <c r="BH33" i="10"/>
  <c r="BI33" i="10"/>
  <c r="BN32" i="10"/>
  <c r="BV32" i="10" s="1"/>
  <c r="BW32" i="10" s="1"/>
  <c r="CC31" i="9" l="1" a="1"/>
  <c r="CC31" i="9" s="1"/>
  <c r="BB36" i="11"/>
  <c r="BC36" i="11" s="1"/>
  <c r="BA37" i="11"/>
  <c r="AZ37" i="11"/>
  <c r="BD31" i="9"/>
  <c r="BT33" i="9" a="1"/>
  <c r="BT33" i="9" s="1"/>
  <c r="AY33" i="9"/>
  <c r="BL32" i="9"/>
  <c r="BN32" i="9" s="1"/>
  <c r="BV32" i="9" s="1"/>
  <c r="BW32" i="9" s="1"/>
  <c r="BB32" i="9"/>
  <c r="BC32" i="9" s="1"/>
  <c r="CG25" i="9"/>
  <c r="AZ38" i="9"/>
  <c r="BA38" i="9"/>
  <c r="AG33" i="9"/>
  <c r="AI32" i="9"/>
  <c r="AJ32" i="9" s="1"/>
  <c r="AM32" i="9" s="1"/>
  <c r="AH33" i="9"/>
  <c r="AK33" i="9" s="1"/>
  <c r="AH35" i="10"/>
  <c r="AG35" i="10"/>
  <c r="AZ35" i="10"/>
  <c r="AI34" i="12"/>
  <c r="AJ34" i="12" s="1"/>
  <c r="AM34" i="12" s="1"/>
  <c r="AG35" i="12"/>
  <c r="AH35" i="12"/>
  <c r="AK35" i="12" s="1"/>
  <c r="BB32" i="12"/>
  <c r="BC32" i="12" s="1"/>
  <c r="BD32" i="12" s="1"/>
  <c r="AZ33" i="12"/>
  <c r="BA34" i="12" s="1"/>
  <c r="BF36" i="9"/>
  <c r="BF37" i="13"/>
  <c r="AM36" i="13"/>
  <c r="BF36" i="11"/>
  <c r="AM35" i="11"/>
  <c r="BD35" i="11"/>
  <c r="BF36" i="12"/>
  <c r="AK34" i="10"/>
  <c r="BU33" i="9"/>
  <c r="AR33" i="9"/>
  <c r="AS33" i="9" s="1"/>
  <c r="BB33" i="10"/>
  <c r="BC33" i="10" s="1"/>
  <c r="BY34" i="9"/>
  <c r="BZ34" i="9" s="1"/>
  <c r="CA34" i="9" s="1"/>
  <c r="AX34" i="10"/>
  <c r="AF34" i="10"/>
  <c r="BM34" i="10"/>
  <c r="BY34" i="10" s="1" a="1"/>
  <c r="BY34" i="10" s="1"/>
  <c r="AB34" i="10"/>
  <c r="AC34" i="10" s="1"/>
  <c r="AI33" i="10"/>
  <c r="AJ33" i="10" s="1"/>
  <c r="BU34" i="10"/>
  <c r="V35" i="10"/>
  <c r="AS34" i="10"/>
  <c r="BG38" i="17"/>
  <c r="AN37" i="17"/>
  <c r="AR35" i="10"/>
  <c r="AW35" i="10"/>
  <c r="BK35" i="10" s="1"/>
  <c r="BD32" i="10"/>
  <c r="AM32" i="10"/>
  <c r="AE34" i="10"/>
  <c r="AQ35" i="10"/>
  <c r="AP35" i="10"/>
  <c r="AO35" i="10"/>
  <c r="AD35" i="10"/>
  <c r="Z35" i="10"/>
  <c r="Y35" i="10"/>
  <c r="AT35" i="10"/>
  <c r="AA35" i="10"/>
  <c r="AH36" i="10" s="1"/>
  <c r="AU35" i="10"/>
  <c r="AV35" i="10"/>
  <c r="BJ35" i="10" s="1"/>
  <c r="AY35" i="10"/>
  <c r="BN33" i="10"/>
  <c r="BV33" i="10" s="1"/>
  <c r="BW33" i="10" s="1"/>
  <c r="BI34" i="10"/>
  <c r="BS35" i="10"/>
  <c r="BO35" i="10"/>
  <c r="BQ35" i="10"/>
  <c r="BP35" i="10"/>
  <c r="BR35" i="10"/>
  <c r="BH34" i="10"/>
  <c r="BB37" i="11" l="1"/>
  <c r="BC37" i="11" s="1"/>
  <c r="BA38" i="11"/>
  <c r="AZ38" i="11"/>
  <c r="CC32" i="9" a="1"/>
  <c r="CC32" i="9" s="1"/>
  <c r="BD32" i="9"/>
  <c r="BT34" i="9" a="1"/>
  <c r="BT34" i="9" s="1"/>
  <c r="AY34" i="9"/>
  <c r="BL33" i="9"/>
  <c r="BN33" i="9" s="1"/>
  <c r="BV33" i="9" s="1"/>
  <c r="BW33" i="9" s="1"/>
  <c r="BB33" i="9"/>
  <c r="BC33" i="9" s="1"/>
  <c r="CC33" i="9" a="1"/>
  <c r="CC33" i="9" s="1"/>
  <c r="AZ39" i="9"/>
  <c r="BA39" i="9"/>
  <c r="CJ24" i="9"/>
  <c r="CH25" i="9"/>
  <c r="CG26" i="9" s="1"/>
  <c r="AG34" i="9"/>
  <c r="AI33" i="9"/>
  <c r="AJ33" i="9" s="1"/>
  <c r="AM33" i="9" s="1"/>
  <c r="AH34" i="9"/>
  <c r="AK34" i="9" s="1"/>
  <c r="BA36" i="10"/>
  <c r="AZ36" i="10"/>
  <c r="AG36" i="10"/>
  <c r="BB33" i="12"/>
  <c r="BC33" i="12" s="1"/>
  <c r="AZ34" i="12"/>
  <c r="BA35" i="12" s="1"/>
  <c r="AI35" i="12"/>
  <c r="AJ35" i="12" s="1"/>
  <c r="AM35" i="12" s="1"/>
  <c r="AG36" i="12"/>
  <c r="AH36" i="12"/>
  <c r="AK36" i="12" s="1"/>
  <c r="BF37" i="9"/>
  <c r="BF38" i="13"/>
  <c r="AM37" i="13"/>
  <c r="BF37" i="11"/>
  <c r="BD36" i="11"/>
  <c r="AM36" i="11"/>
  <c r="BF37" i="12"/>
  <c r="BB34" i="10"/>
  <c r="BC34" i="10" s="1"/>
  <c r="AK35" i="10"/>
  <c r="BU34" i="9"/>
  <c r="AR34" i="9"/>
  <c r="AS34" i="9" s="1"/>
  <c r="BY35" i="9"/>
  <c r="BZ35" i="9" s="1"/>
  <c r="CA35" i="9" s="1"/>
  <c r="AX35" i="10"/>
  <c r="AF35" i="10"/>
  <c r="BM35" i="10"/>
  <c r="AB35" i="10"/>
  <c r="AC35" i="10" s="1"/>
  <c r="AI34" i="10"/>
  <c r="AJ34" i="10" s="1"/>
  <c r="BU35" i="10"/>
  <c r="V36" i="10"/>
  <c r="AS35" i="10"/>
  <c r="BG39" i="17"/>
  <c r="AN38" i="17"/>
  <c r="AR36" i="10"/>
  <c r="AW36" i="10"/>
  <c r="BK36" i="10" s="1"/>
  <c r="BD33" i="10"/>
  <c r="AM33" i="10"/>
  <c r="BN34" i="10"/>
  <c r="BV34" i="10" s="1"/>
  <c r="BW34" i="10" s="1"/>
  <c r="AE35" i="10"/>
  <c r="BL35" i="10"/>
  <c r="BY35" i="10" s="1" a="1"/>
  <c r="BY35" i="10" s="1"/>
  <c r="AO36" i="10"/>
  <c r="AT36" i="10"/>
  <c r="AP36" i="10"/>
  <c r="AQ36" i="10"/>
  <c r="BA37" i="10" s="1"/>
  <c r="AD36" i="10"/>
  <c r="AA36" i="10"/>
  <c r="Z36" i="10"/>
  <c r="Y36" i="10"/>
  <c r="AU36" i="10"/>
  <c r="AV36" i="10"/>
  <c r="BJ36" i="10" s="1"/>
  <c r="AY36" i="10"/>
  <c r="BL36" i="10" s="1"/>
  <c r="BS36" i="10"/>
  <c r="BR36" i="10"/>
  <c r="BQ36" i="10"/>
  <c r="BP36" i="10"/>
  <c r="BO36" i="10"/>
  <c r="BI35" i="10"/>
  <c r="BH35" i="10"/>
  <c r="BB38" i="11" l="1"/>
  <c r="BC38" i="11" s="1"/>
  <c r="BA39" i="11"/>
  <c r="AZ39" i="11"/>
  <c r="AH37" i="10"/>
  <c r="BD33" i="9"/>
  <c r="BT35" i="9" a="1"/>
  <c r="BT35" i="9" s="1"/>
  <c r="BU35" i="9" s="1"/>
  <c r="AY35" i="9"/>
  <c r="BL34" i="9"/>
  <c r="BN34" i="9" s="1"/>
  <c r="BV34" i="9" s="1"/>
  <c r="BW34" i="9" s="1"/>
  <c r="BB34" i="9"/>
  <c r="BC34" i="9" s="1"/>
  <c r="BD34" i="9" s="1"/>
  <c r="AZ40" i="9"/>
  <c r="BA40" i="9"/>
  <c r="CJ25" i="9"/>
  <c r="AG35" i="9"/>
  <c r="AI34" i="9"/>
  <c r="AJ34" i="9" s="1"/>
  <c r="AM34" i="9" s="1"/>
  <c r="AH35" i="9"/>
  <c r="AK35" i="9" s="1"/>
  <c r="AG37" i="10"/>
  <c r="AZ37" i="10"/>
  <c r="BD33" i="12"/>
  <c r="AI36" i="12"/>
  <c r="AJ36" i="12" s="1"/>
  <c r="AM36" i="12" s="1"/>
  <c r="AH37" i="12"/>
  <c r="AK37" i="12" s="1"/>
  <c r="AG37" i="12"/>
  <c r="BB34" i="12"/>
  <c r="BC34" i="12" s="1"/>
  <c r="AZ35" i="12"/>
  <c r="BA36" i="12" s="1"/>
  <c r="BF38" i="9"/>
  <c r="BF39" i="13"/>
  <c r="AM38" i="13"/>
  <c r="BF38" i="11"/>
  <c r="BD37" i="11"/>
  <c r="AM37" i="11"/>
  <c r="BF38" i="12"/>
  <c r="AR35" i="9"/>
  <c r="AS35" i="9" s="1"/>
  <c r="BB35" i="10"/>
  <c r="BC35" i="10" s="1"/>
  <c r="BY36" i="9"/>
  <c r="BZ36" i="9" s="1"/>
  <c r="CA36" i="9" s="1"/>
  <c r="AF36" i="10"/>
  <c r="AX36" i="10"/>
  <c r="V37" i="10"/>
  <c r="BM36" i="10"/>
  <c r="BY36" i="10" s="1" a="1"/>
  <c r="BY36" i="10" s="1"/>
  <c r="AB36" i="10"/>
  <c r="AC36" i="10" s="1"/>
  <c r="AI35" i="10"/>
  <c r="AJ35" i="10" s="1"/>
  <c r="BU36" i="10"/>
  <c r="AK36" i="10"/>
  <c r="AS36" i="10"/>
  <c r="BG40" i="17"/>
  <c r="AN39" i="17"/>
  <c r="AR37" i="10"/>
  <c r="AW37" i="10"/>
  <c r="BK37" i="10" s="1"/>
  <c r="BD34" i="10"/>
  <c r="AM34" i="10"/>
  <c r="AE36" i="10"/>
  <c r="Z37" i="10"/>
  <c r="Y37" i="10"/>
  <c r="AQ37" i="10"/>
  <c r="AP37" i="10"/>
  <c r="AO37" i="10"/>
  <c r="AT37" i="10"/>
  <c r="AD37" i="10"/>
  <c r="AA37" i="10"/>
  <c r="AV37" i="10"/>
  <c r="BJ37" i="10" s="1"/>
  <c r="AU37" i="10"/>
  <c r="AY37" i="10"/>
  <c r="BL37" i="10" s="1"/>
  <c r="BN35" i="10"/>
  <c r="BV35" i="10" s="1"/>
  <c r="BW35" i="10" s="1"/>
  <c r="BR37" i="10"/>
  <c r="BQ37" i="10"/>
  <c r="BP37" i="10"/>
  <c r="BO37" i="10"/>
  <c r="BS37" i="10"/>
  <c r="BI36" i="10"/>
  <c r="BH36" i="10"/>
  <c r="BB39" i="11" l="1"/>
  <c r="BC39" i="11" s="1"/>
  <c r="BA40" i="11"/>
  <c r="AZ40" i="11"/>
  <c r="AH38" i="10"/>
  <c r="CC34" i="9" a="1"/>
  <c r="CC34" i="9" s="1"/>
  <c r="BT36" i="9" a="1"/>
  <c r="BT36" i="9" s="1"/>
  <c r="BU36" i="9" s="1"/>
  <c r="AY36" i="9"/>
  <c r="BL35" i="9"/>
  <c r="BN35" i="9" s="1"/>
  <c r="BV35" i="9" s="1"/>
  <c r="BW35" i="9" s="1"/>
  <c r="BB35" i="9"/>
  <c r="BC35" i="9" s="1"/>
  <c r="CC35" i="9" a="1"/>
  <c r="CC35" i="9" s="1"/>
  <c r="BA41" i="9"/>
  <c r="AZ41" i="9"/>
  <c r="CH26" i="9"/>
  <c r="CG27" i="9" s="1"/>
  <c r="AG36" i="9"/>
  <c r="AI35" i="9"/>
  <c r="AJ35" i="9" s="1"/>
  <c r="AM35" i="9" s="1"/>
  <c r="AH36" i="9"/>
  <c r="AK36" i="9" s="1"/>
  <c r="BA38" i="10"/>
  <c r="AZ38" i="10"/>
  <c r="AG38" i="10"/>
  <c r="BD34" i="12"/>
  <c r="BB35" i="12"/>
  <c r="BC35" i="12" s="1"/>
  <c r="AZ36" i="12"/>
  <c r="BA37" i="12" s="1"/>
  <c r="AI37" i="12"/>
  <c r="AJ37" i="12" s="1"/>
  <c r="AM37" i="12" s="1"/>
  <c r="AG38" i="12"/>
  <c r="AH38" i="12"/>
  <c r="AK38" i="12" s="1"/>
  <c r="BF39" i="9"/>
  <c r="BF40" i="13"/>
  <c r="AM39" i="13"/>
  <c r="BF39" i="11"/>
  <c r="BD38" i="11"/>
  <c r="AM38" i="11"/>
  <c r="BF39" i="12"/>
  <c r="AR36" i="9"/>
  <c r="AS36" i="9" s="1"/>
  <c r="BB36" i="10"/>
  <c r="BC36" i="10" s="1"/>
  <c r="BY37" i="9"/>
  <c r="BZ37" i="9" s="1"/>
  <c r="CA37" i="9" s="1"/>
  <c r="BY38" i="9"/>
  <c r="AX37" i="10"/>
  <c r="AF37" i="10"/>
  <c r="BM37" i="10"/>
  <c r="BY37" i="10" s="1" a="1"/>
  <c r="BY37" i="10" s="1"/>
  <c r="AB37" i="10"/>
  <c r="AC37" i="10" s="1"/>
  <c r="AK37" i="10"/>
  <c r="AI36" i="10"/>
  <c r="AJ36" i="10" s="1"/>
  <c r="BU37" i="10"/>
  <c r="V38" i="10"/>
  <c r="BG41" i="17"/>
  <c r="AN40" i="17"/>
  <c r="AS37" i="10"/>
  <c r="AR38" i="10"/>
  <c r="AW38" i="10"/>
  <c r="BK38" i="10" s="1"/>
  <c r="BD35" i="10"/>
  <c r="AM35" i="10"/>
  <c r="AE37" i="10"/>
  <c r="AD38" i="10"/>
  <c r="AA38" i="10"/>
  <c r="Z38" i="10"/>
  <c r="Y38" i="10"/>
  <c r="AT38" i="10"/>
  <c r="AQ38" i="10"/>
  <c r="BA39" i="10" s="1"/>
  <c r="AO38" i="10"/>
  <c r="AP38" i="10"/>
  <c r="AU38" i="10"/>
  <c r="AV38" i="10"/>
  <c r="BJ38" i="10" s="1"/>
  <c r="AY38" i="10"/>
  <c r="BL38" i="10" s="1"/>
  <c r="BH37" i="10"/>
  <c r="BP38" i="10"/>
  <c r="BO38" i="10"/>
  <c r="BS38" i="10"/>
  <c r="BR38" i="10"/>
  <c r="BQ38" i="10"/>
  <c r="BI37" i="10"/>
  <c r="BN36" i="10"/>
  <c r="BV36" i="10" s="1"/>
  <c r="BW36" i="10" s="1"/>
  <c r="BB40" i="11" l="1"/>
  <c r="BC40" i="11" s="1"/>
  <c r="BA41" i="11"/>
  <c r="AZ41" i="11"/>
  <c r="BZ38" i="9"/>
  <c r="CA38" i="9" s="1"/>
  <c r="BD35" i="9"/>
  <c r="BT37" i="9" a="1"/>
  <c r="BT37" i="9" s="1"/>
  <c r="BU37" i="9" s="1"/>
  <c r="AY37" i="9"/>
  <c r="BL36" i="9"/>
  <c r="BN36" i="9" s="1"/>
  <c r="BV36" i="9" s="1"/>
  <c r="BW36" i="9" s="1"/>
  <c r="BB36" i="9"/>
  <c r="BC36" i="9" s="1"/>
  <c r="BT38" i="9" a="1"/>
  <c r="BT38" i="9" s="1"/>
  <c r="BU38" i="9" s="1"/>
  <c r="AY38" i="9"/>
  <c r="CJ26" i="9"/>
  <c r="AZ42" i="9"/>
  <c r="BA42" i="9"/>
  <c r="AG37" i="9"/>
  <c r="AI36" i="9"/>
  <c r="AJ36" i="9" s="1"/>
  <c r="AM36" i="9" s="1"/>
  <c r="AH37" i="9"/>
  <c r="AK37" i="9" s="1"/>
  <c r="CH27" i="9"/>
  <c r="AH39" i="10"/>
  <c r="AG39" i="10"/>
  <c r="AZ39" i="10"/>
  <c r="BD35" i="12"/>
  <c r="AI38" i="12"/>
  <c r="AJ38" i="12" s="1"/>
  <c r="AM38" i="12" s="1"/>
  <c r="AH39" i="12"/>
  <c r="AK39" i="12" s="1"/>
  <c r="AG39" i="12"/>
  <c r="AZ37" i="12"/>
  <c r="BA38" i="12" s="1"/>
  <c r="BB36" i="12"/>
  <c r="BC36" i="12" s="1"/>
  <c r="BF40" i="9"/>
  <c r="BF41" i="13"/>
  <c r="AM40" i="13"/>
  <c r="BF40" i="11"/>
  <c r="BD39" i="11"/>
  <c r="AM39" i="11"/>
  <c r="BF40" i="12"/>
  <c r="AR38" i="9"/>
  <c r="AS38" i="9" s="1"/>
  <c r="AR37" i="9"/>
  <c r="AS37" i="9" s="1"/>
  <c r="BB37" i="10"/>
  <c r="BC37" i="10" s="1"/>
  <c r="BY39" i="9"/>
  <c r="BZ39" i="9" s="1"/>
  <c r="CA39" i="9" s="1"/>
  <c r="AX38" i="10"/>
  <c r="AF38" i="10"/>
  <c r="BM38" i="10"/>
  <c r="BY38" i="10" s="1" a="1"/>
  <c r="BY38" i="10" s="1"/>
  <c r="AB38" i="10"/>
  <c r="AC38" i="10" s="1"/>
  <c r="AI37" i="10"/>
  <c r="AJ37" i="10" s="1"/>
  <c r="AK38" i="10"/>
  <c r="BU38" i="10"/>
  <c r="V39" i="10"/>
  <c r="AS38" i="10"/>
  <c r="BG42" i="17"/>
  <c r="AN41" i="17"/>
  <c r="AR39" i="10"/>
  <c r="AW39" i="10"/>
  <c r="BK39" i="10" s="1"/>
  <c r="BD36" i="10"/>
  <c r="AM36" i="10"/>
  <c r="AE38" i="10"/>
  <c r="AQ39" i="10"/>
  <c r="AP39" i="10"/>
  <c r="AO39" i="10"/>
  <c r="AD39" i="10"/>
  <c r="Z39" i="10"/>
  <c r="Y39" i="10"/>
  <c r="AT39" i="10"/>
  <c r="AA39" i="10"/>
  <c r="AV39" i="10"/>
  <c r="BJ39" i="10" s="1"/>
  <c r="AU39" i="10"/>
  <c r="AY39" i="10"/>
  <c r="BP39" i="10"/>
  <c r="BO39" i="10"/>
  <c r="BS39" i="10"/>
  <c r="BR39" i="10"/>
  <c r="BQ39" i="10"/>
  <c r="BI38" i="10"/>
  <c r="BN37" i="10"/>
  <c r="BV37" i="10" s="1"/>
  <c r="BW37" i="10" s="1"/>
  <c r="BH38" i="10"/>
  <c r="BB41" i="11" l="1"/>
  <c r="BC41" i="11" s="1"/>
  <c r="BA42" i="11"/>
  <c r="AZ42" i="11"/>
  <c r="BA40" i="10"/>
  <c r="CC36" i="9" a="1"/>
  <c r="CC36" i="9" s="1"/>
  <c r="BD36" i="9"/>
  <c r="BL38" i="9"/>
  <c r="BN38" i="9" s="1"/>
  <c r="BB38" i="9"/>
  <c r="BC38" i="9" s="1"/>
  <c r="BD38" i="9" s="1"/>
  <c r="BV38" i="9"/>
  <c r="BW38" i="9" s="1"/>
  <c r="BT39" i="9" a="1"/>
  <c r="BT39" i="9" s="1"/>
  <c r="BU39" i="9" s="1"/>
  <c r="AY39" i="9"/>
  <c r="BL37" i="9"/>
  <c r="BN37" i="9" s="1"/>
  <c r="BV37" i="9" s="1"/>
  <c r="BW37" i="9" s="1"/>
  <c r="BB37" i="9"/>
  <c r="BC37" i="9" s="1"/>
  <c r="CG28" i="9"/>
  <c r="AZ43" i="9"/>
  <c r="BA43" i="9"/>
  <c r="AG38" i="9"/>
  <c r="AI37" i="9"/>
  <c r="AJ37" i="9" s="1"/>
  <c r="AM37" i="9" s="1"/>
  <c r="AH38" i="9"/>
  <c r="AK38" i="9" s="1"/>
  <c r="AZ40" i="10"/>
  <c r="AG40" i="10"/>
  <c r="AH40" i="10"/>
  <c r="BD36" i="12"/>
  <c r="BB37" i="12"/>
  <c r="BC37" i="12" s="1"/>
  <c r="AZ38" i="12"/>
  <c r="BA39" i="12" s="1"/>
  <c r="AI39" i="12"/>
  <c r="AJ39" i="12" s="1"/>
  <c r="AM39" i="12" s="1"/>
  <c r="AH40" i="12"/>
  <c r="AK40" i="12" s="1"/>
  <c r="AG40" i="12"/>
  <c r="BF41" i="9"/>
  <c r="BF42" i="13"/>
  <c r="AM41" i="13"/>
  <c r="BF41" i="11"/>
  <c r="AM40" i="11"/>
  <c r="BD40" i="11"/>
  <c r="BF41" i="12"/>
  <c r="AR39" i="9"/>
  <c r="AS39" i="9" s="1"/>
  <c r="BB38" i="10"/>
  <c r="BC38" i="10" s="1"/>
  <c r="BY40" i="9"/>
  <c r="BZ40" i="9" s="1"/>
  <c r="CA40" i="9" s="1"/>
  <c r="AX39" i="10"/>
  <c r="AF39" i="10"/>
  <c r="BM39" i="10"/>
  <c r="AB39" i="10"/>
  <c r="AC39" i="10" s="1"/>
  <c r="AI38" i="10"/>
  <c r="AJ38" i="10" s="1"/>
  <c r="AK39" i="10"/>
  <c r="BU39" i="10"/>
  <c r="V40" i="10"/>
  <c r="BG43" i="17"/>
  <c r="AN42" i="17"/>
  <c r="AS39" i="10"/>
  <c r="AR40" i="10"/>
  <c r="AW40" i="10"/>
  <c r="BK40" i="10" s="1"/>
  <c r="BD37" i="10"/>
  <c r="AM37" i="10"/>
  <c r="BL39" i="10"/>
  <c r="AO40" i="10"/>
  <c r="AT40" i="10"/>
  <c r="AP40" i="10"/>
  <c r="AQ40" i="10"/>
  <c r="AD40" i="10"/>
  <c r="AA40" i="10"/>
  <c r="Z40" i="10"/>
  <c r="Y40" i="10"/>
  <c r="AU40" i="10"/>
  <c r="AV40" i="10"/>
  <c r="BJ40" i="10" s="1"/>
  <c r="AY40" i="10"/>
  <c r="BL40" i="10" s="1"/>
  <c r="AE39" i="10"/>
  <c r="BI39" i="10"/>
  <c r="BH39" i="10"/>
  <c r="BP40" i="10"/>
  <c r="BO40" i="10"/>
  <c r="BS40" i="10"/>
  <c r="BR40" i="10"/>
  <c r="BQ40" i="10"/>
  <c r="BN38" i="10"/>
  <c r="BV38" i="10" s="1"/>
  <c r="BW38" i="10" s="1"/>
  <c r="BB42" i="11" l="1"/>
  <c r="BC42" i="11" s="1"/>
  <c r="BA43" i="11"/>
  <c r="AZ43" i="11"/>
  <c r="CC37" i="9" a="1"/>
  <c r="CC37" i="9" s="1"/>
  <c r="BA41" i="10"/>
  <c r="BY39" i="10" a="1"/>
  <c r="BY39" i="10" s="1"/>
  <c r="CC38" i="9" a="1"/>
  <c r="CC38" i="9" s="1"/>
  <c r="BD37" i="9"/>
  <c r="BL39" i="9"/>
  <c r="BN39" i="9" s="1"/>
  <c r="BV39" i="9" s="1"/>
  <c r="BW39" i="9" s="1"/>
  <c r="BB39" i="9"/>
  <c r="BC39" i="9" s="1"/>
  <c r="BT40" i="9" a="1"/>
  <c r="BT40" i="9" s="1"/>
  <c r="AY40" i="9"/>
  <c r="CJ27" i="9"/>
  <c r="AZ44" i="9"/>
  <c r="BA44" i="9"/>
  <c r="AG39" i="9"/>
  <c r="AI38" i="9"/>
  <c r="AJ38" i="9" s="1"/>
  <c r="AH39" i="9"/>
  <c r="AK39" i="9" s="1"/>
  <c r="CH28" i="9"/>
  <c r="AG41" i="10"/>
  <c r="AZ41" i="10"/>
  <c r="AH41" i="10"/>
  <c r="BD37" i="12"/>
  <c r="AI40" i="12"/>
  <c r="AJ40" i="12" s="1"/>
  <c r="AM40" i="12" s="1"/>
  <c r="AG41" i="12"/>
  <c r="AH41" i="12"/>
  <c r="AK41" i="12" s="1"/>
  <c r="BB38" i="12"/>
  <c r="BC38" i="12" s="1"/>
  <c r="AZ39" i="12"/>
  <c r="BA40" i="12" s="1"/>
  <c r="BF42" i="9"/>
  <c r="BF43" i="13"/>
  <c r="AM42" i="13"/>
  <c r="BF42" i="11"/>
  <c r="AM41" i="11"/>
  <c r="BD41" i="11"/>
  <c r="BF42" i="12"/>
  <c r="AR40" i="9"/>
  <c r="AS40" i="9" s="1"/>
  <c r="BB39" i="10"/>
  <c r="BC39" i="10" s="1"/>
  <c r="BY41" i="9"/>
  <c r="BZ41" i="9" s="1"/>
  <c r="CA41" i="9" s="1"/>
  <c r="AF40" i="10"/>
  <c r="AX40" i="10"/>
  <c r="AI39" i="10"/>
  <c r="AJ39" i="10" s="1"/>
  <c r="BM40" i="10"/>
  <c r="BY40" i="10" s="1" a="1"/>
  <c r="BY40" i="10" s="1"/>
  <c r="AB40" i="10"/>
  <c r="AC40" i="10" s="1"/>
  <c r="BU40" i="10"/>
  <c r="AK40" i="10"/>
  <c r="V41" i="10"/>
  <c r="BG44" i="17"/>
  <c r="AN43" i="17"/>
  <c r="AS40" i="10"/>
  <c r="AR41" i="10"/>
  <c r="AW41" i="10"/>
  <c r="BK41" i="10" s="1"/>
  <c r="BD38" i="10"/>
  <c r="AM38" i="10"/>
  <c r="AY41" i="10"/>
  <c r="BL41" i="10" s="1"/>
  <c r="Y41" i="10"/>
  <c r="AQ41" i="10"/>
  <c r="AT41" i="10"/>
  <c r="AO41" i="10"/>
  <c r="AD41" i="10"/>
  <c r="AP41" i="10"/>
  <c r="Z41" i="10"/>
  <c r="AA41" i="10"/>
  <c r="AU41" i="10"/>
  <c r="AV41" i="10"/>
  <c r="BJ41" i="10" s="1"/>
  <c r="AE40" i="10"/>
  <c r="BN39" i="10"/>
  <c r="BV39" i="10" s="1"/>
  <c r="BW39" i="10" s="1"/>
  <c r="BO41" i="10"/>
  <c r="BS41" i="10"/>
  <c r="BR41" i="10"/>
  <c r="BQ41" i="10"/>
  <c r="BP41" i="10"/>
  <c r="BH40" i="10"/>
  <c r="BI40" i="10"/>
  <c r="BB43" i="11" l="1"/>
  <c r="BC43" i="11" s="1"/>
  <c r="BA44" i="11"/>
  <c r="AZ44" i="11"/>
  <c r="CC39" i="9" a="1"/>
  <c r="CC39" i="9" s="1"/>
  <c r="AH42" i="10"/>
  <c r="BA42" i="10"/>
  <c r="BT41" i="9" a="1"/>
  <c r="BT41" i="9" s="1"/>
  <c r="BU41" i="9" s="1"/>
  <c r="AY41" i="9"/>
  <c r="BD39" i="9"/>
  <c r="BL40" i="9"/>
  <c r="BN40" i="9" s="1"/>
  <c r="BB40" i="9"/>
  <c r="BC40" i="9" s="1"/>
  <c r="BU40" i="9"/>
  <c r="AZ45" i="9"/>
  <c r="BA45" i="9"/>
  <c r="AG40" i="9"/>
  <c r="AI39" i="9"/>
  <c r="AJ39" i="9" s="1"/>
  <c r="AH40" i="9"/>
  <c r="AK40" i="9" s="1"/>
  <c r="AM38" i="9"/>
  <c r="AZ42" i="10"/>
  <c r="AG42" i="10"/>
  <c r="BD38" i="12"/>
  <c r="BB39" i="12"/>
  <c r="BC39" i="12" s="1"/>
  <c r="BD39" i="12" s="1"/>
  <c r="AZ40" i="12"/>
  <c r="BA41" i="12" s="1"/>
  <c r="AI41" i="12"/>
  <c r="AJ41" i="12" s="1"/>
  <c r="AM41" i="12" s="1"/>
  <c r="AG42" i="12"/>
  <c r="AH42" i="12"/>
  <c r="AK42" i="12" s="1"/>
  <c r="BF43" i="9"/>
  <c r="BF44" i="13"/>
  <c r="AM43" i="13"/>
  <c r="BF43" i="11"/>
  <c r="BD42" i="11"/>
  <c r="AM42" i="11"/>
  <c r="BF43" i="12"/>
  <c r="AR41" i="9"/>
  <c r="AS41" i="9" s="1"/>
  <c r="BB40" i="10"/>
  <c r="BC40" i="10" s="1"/>
  <c r="BY42" i="9"/>
  <c r="BZ42" i="9" s="1"/>
  <c r="CA42" i="9" s="1"/>
  <c r="AF41" i="10"/>
  <c r="AX41" i="10"/>
  <c r="AI40" i="10"/>
  <c r="AJ40" i="10" s="1"/>
  <c r="BM41" i="10"/>
  <c r="BY41" i="10" s="1" a="1"/>
  <c r="BY41" i="10" s="1"/>
  <c r="AB41" i="10"/>
  <c r="AC41" i="10" s="1"/>
  <c r="BU41" i="10"/>
  <c r="AK41" i="10"/>
  <c r="V42" i="10"/>
  <c r="AS41" i="10"/>
  <c r="BG45" i="17"/>
  <c r="AN44" i="17"/>
  <c r="AR42" i="10"/>
  <c r="AW42" i="10"/>
  <c r="BK42" i="10" s="1"/>
  <c r="BD39" i="10"/>
  <c r="AM39" i="10"/>
  <c r="AE41" i="10"/>
  <c r="AP42" i="10"/>
  <c r="AO42" i="10"/>
  <c r="AT42" i="10"/>
  <c r="AQ42" i="10"/>
  <c r="AD42" i="10"/>
  <c r="Y42" i="10"/>
  <c r="AA42" i="10"/>
  <c r="AY42" i="10"/>
  <c r="BL42" i="10" s="1"/>
  <c r="Z42" i="10"/>
  <c r="AV42" i="10"/>
  <c r="BJ42" i="10" s="1"/>
  <c r="AU42" i="10"/>
  <c r="BN40" i="10"/>
  <c r="BV40" i="10" s="1"/>
  <c r="BW40" i="10" s="1"/>
  <c r="BR42" i="10"/>
  <c r="BQ42" i="10"/>
  <c r="BP42" i="10"/>
  <c r="BO42" i="10"/>
  <c r="BS42" i="10"/>
  <c r="BH41" i="10"/>
  <c r="BI41" i="10"/>
  <c r="AH43" i="10" l="1"/>
  <c r="BB44" i="11"/>
  <c r="BC44" i="11" s="1"/>
  <c r="BA45" i="11"/>
  <c r="AZ45" i="11"/>
  <c r="BV40" i="9"/>
  <c r="BW40" i="9" s="1"/>
  <c r="BD40" i="9"/>
  <c r="BT42" i="9" a="1"/>
  <c r="BT42" i="9" s="1"/>
  <c r="BU42" i="9" s="1"/>
  <c r="AY42" i="9"/>
  <c r="CC40" i="9" a="1"/>
  <c r="CC40" i="9" s="1"/>
  <c r="BL41" i="9"/>
  <c r="BN41" i="9" s="1"/>
  <c r="BV41" i="9" s="1"/>
  <c r="BW41" i="9" s="1"/>
  <c r="BB41" i="9"/>
  <c r="BC41" i="9" s="1"/>
  <c r="CJ28" i="9"/>
  <c r="CG29" i="9"/>
  <c r="AZ46" i="9"/>
  <c r="BA46" i="9"/>
  <c r="AM39" i="9"/>
  <c r="AG41" i="9"/>
  <c r="AI40" i="9"/>
  <c r="AJ40" i="9" s="1"/>
  <c r="AH41" i="9"/>
  <c r="AK41" i="9" s="1"/>
  <c r="CH29" i="9"/>
  <c r="BA43" i="10"/>
  <c r="AG43" i="10"/>
  <c r="AZ43" i="10"/>
  <c r="AI42" i="12"/>
  <c r="AJ42" i="12" s="1"/>
  <c r="AM42" i="12" s="1"/>
  <c r="AG43" i="12"/>
  <c r="AH43" i="12"/>
  <c r="AK43" i="12" s="1"/>
  <c r="AZ41" i="12"/>
  <c r="BA42" i="12" s="1"/>
  <c r="BB40" i="12"/>
  <c r="BC40" i="12" s="1"/>
  <c r="BF44" i="9"/>
  <c r="BF45" i="13"/>
  <c r="AM44" i="13"/>
  <c r="BF44" i="11"/>
  <c r="AM43" i="11"/>
  <c r="BD43" i="11"/>
  <c r="BF44" i="12"/>
  <c r="AR42" i="9"/>
  <c r="AS42" i="9" s="1"/>
  <c r="BB41" i="10"/>
  <c r="BC41" i="10" s="1"/>
  <c r="BY43" i="9"/>
  <c r="BZ43" i="9" s="1"/>
  <c r="CA43" i="9" s="1"/>
  <c r="AF42" i="10"/>
  <c r="AX42" i="10"/>
  <c r="BM42" i="10"/>
  <c r="BY42" i="10" s="1" a="1"/>
  <c r="BY42" i="10" s="1"/>
  <c r="AB42" i="10"/>
  <c r="AC42" i="10" s="1"/>
  <c r="AI41" i="10"/>
  <c r="AJ41" i="10" s="1"/>
  <c r="AK42" i="10"/>
  <c r="BU42" i="10"/>
  <c r="V43" i="10"/>
  <c r="AS42" i="10"/>
  <c r="BG46" i="17"/>
  <c r="AN45" i="17"/>
  <c r="AR43" i="10"/>
  <c r="AW43" i="10"/>
  <c r="BK43" i="10" s="1"/>
  <c r="BD40" i="10"/>
  <c r="AM40" i="10"/>
  <c r="AT43" i="10"/>
  <c r="AO43" i="10"/>
  <c r="AQ43" i="10"/>
  <c r="AP43" i="10"/>
  <c r="AD43" i="10"/>
  <c r="AA43" i="10"/>
  <c r="AH44" i="10" s="1"/>
  <c r="Z43" i="10"/>
  <c r="AY43" i="10"/>
  <c r="BL43" i="10" s="1"/>
  <c r="Y43" i="10"/>
  <c r="AV43" i="10"/>
  <c r="BJ43" i="10" s="1"/>
  <c r="AU43" i="10"/>
  <c r="AE42" i="10"/>
  <c r="BN41" i="10"/>
  <c r="BV41" i="10" s="1"/>
  <c r="BW41" i="10" s="1"/>
  <c r="BI42" i="10"/>
  <c r="BS43" i="10"/>
  <c r="BQ43" i="10"/>
  <c r="BP43" i="10"/>
  <c r="BO43" i="10"/>
  <c r="BR43" i="10"/>
  <c r="BH42" i="10"/>
  <c r="CC41" i="9" l="1" a="1"/>
  <c r="CC41" i="9" s="1"/>
  <c r="BB45" i="11"/>
  <c r="BC45" i="11" s="1"/>
  <c r="BA46" i="11"/>
  <c r="AZ46" i="11"/>
  <c r="BD41" i="9"/>
  <c r="BT43" i="9" a="1"/>
  <c r="BT43" i="9" s="1"/>
  <c r="BU43" i="9" s="1"/>
  <c r="AY43" i="9"/>
  <c r="BL42" i="9"/>
  <c r="BN42" i="9" s="1"/>
  <c r="BV42" i="9" s="1"/>
  <c r="BW42" i="9" s="1"/>
  <c r="BB42" i="9"/>
  <c r="BC42" i="9" s="1"/>
  <c r="CJ29" i="9"/>
  <c r="AZ47" i="9"/>
  <c r="BA47" i="9"/>
  <c r="BA49" i="9" s="1"/>
  <c r="AM40" i="9"/>
  <c r="AG42" i="9"/>
  <c r="AI41" i="9"/>
  <c r="AJ41" i="9" s="1"/>
  <c r="AH42" i="9"/>
  <c r="AK42" i="9" s="1"/>
  <c r="AZ44" i="10"/>
  <c r="BA44" i="10"/>
  <c r="AG44" i="10"/>
  <c r="BD40" i="12"/>
  <c r="BB41" i="12"/>
  <c r="BC41" i="12" s="1"/>
  <c r="AZ42" i="12"/>
  <c r="BA43" i="12" s="1"/>
  <c r="AI43" i="12"/>
  <c r="AJ43" i="12" s="1"/>
  <c r="AM43" i="12" s="1"/>
  <c r="AH44" i="12"/>
  <c r="AK44" i="12" s="1"/>
  <c r="AG44" i="12"/>
  <c r="BF45" i="9"/>
  <c r="BF46" i="13"/>
  <c r="AM45" i="13"/>
  <c r="BF45" i="11"/>
  <c r="AM44" i="11"/>
  <c r="BD44" i="11"/>
  <c r="BF45" i="12"/>
  <c r="AR43" i="9"/>
  <c r="AS43" i="9" s="1"/>
  <c r="BB42" i="10"/>
  <c r="BC42" i="10" s="1"/>
  <c r="BY44" i="9"/>
  <c r="BZ44" i="9" s="1"/>
  <c r="CA44" i="9" s="1"/>
  <c r="AF43" i="10"/>
  <c r="AX43" i="10"/>
  <c r="AI42" i="10"/>
  <c r="AJ42" i="10" s="1"/>
  <c r="BM43" i="10"/>
  <c r="BY43" i="10" s="1" a="1"/>
  <c r="BY43" i="10" s="1"/>
  <c r="AB43" i="10"/>
  <c r="AC43" i="10" s="1"/>
  <c r="BU43" i="10"/>
  <c r="AK43" i="10"/>
  <c r="V44" i="10"/>
  <c r="AS43" i="10"/>
  <c r="BG47" i="17"/>
  <c r="AN46" i="17"/>
  <c r="AR44" i="10"/>
  <c r="AW44" i="10"/>
  <c r="BK44" i="10" s="1"/>
  <c r="BD41" i="10"/>
  <c r="AM41" i="10"/>
  <c r="AQ44" i="10"/>
  <c r="BA45" i="10" s="1"/>
  <c r="AP44" i="10"/>
  <c r="AO44" i="10"/>
  <c r="AA44" i="10"/>
  <c r="Z44" i="10"/>
  <c r="AD44" i="10"/>
  <c r="AY44" i="10"/>
  <c r="BL44" i="10" s="1"/>
  <c r="Y44" i="10"/>
  <c r="AT44" i="10"/>
  <c r="AV44" i="10"/>
  <c r="BJ44" i="10" s="1"/>
  <c r="AU44" i="10"/>
  <c r="AE43" i="10"/>
  <c r="BN42" i="10"/>
  <c r="BV42" i="10" s="1"/>
  <c r="BW42" i="10" s="1"/>
  <c r="BI43" i="10"/>
  <c r="BR44" i="10"/>
  <c r="BP44" i="10"/>
  <c r="BO44" i="10"/>
  <c r="BS44" i="10"/>
  <c r="BQ44" i="10"/>
  <c r="BH43" i="10"/>
  <c r="AH45" i="10" l="1"/>
  <c r="BB46" i="11"/>
  <c r="BC46" i="11" s="1"/>
  <c r="BA47" i="11"/>
  <c r="BA49" i="11" s="1"/>
  <c r="AZ47" i="11"/>
  <c r="CC42" i="9" a="1"/>
  <c r="CC42" i="9" s="1"/>
  <c r="BD42" i="9"/>
  <c r="BT44" i="9" a="1"/>
  <c r="BT44" i="9" s="1"/>
  <c r="BU44" i="9" s="1"/>
  <c r="AY44" i="9"/>
  <c r="BL43" i="9"/>
  <c r="BN43" i="9" s="1"/>
  <c r="BV43" i="9" s="1"/>
  <c r="BW43" i="9" s="1"/>
  <c r="BB43" i="9"/>
  <c r="BC43" i="9" s="1"/>
  <c r="CG30" i="9"/>
  <c r="AZ49" i="9"/>
  <c r="AM41" i="9"/>
  <c r="AG43" i="9"/>
  <c r="AI42" i="9"/>
  <c r="AJ42" i="9" s="1"/>
  <c r="AH43" i="9"/>
  <c r="AK43" i="9" s="1"/>
  <c r="CH30" i="9"/>
  <c r="AG45" i="10"/>
  <c r="AZ45" i="10"/>
  <c r="BD41" i="12"/>
  <c r="BB42" i="12"/>
  <c r="BC42" i="12" s="1"/>
  <c r="BD42" i="12" s="1"/>
  <c r="AZ43" i="12"/>
  <c r="BA44" i="12" s="1"/>
  <c r="AI44" i="12"/>
  <c r="AJ44" i="12" s="1"/>
  <c r="AM44" i="12" s="1"/>
  <c r="AH45" i="12"/>
  <c r="AK45" i="12" s="1"/>
  <c r="AG45" i="12"/>
  <c r="BF46" i="9"/>
  <c r="BF47" i="13"/>
  <c r="AM46" i="13"/>
  <c r="BF46" i="11"/>
  <c r="AM45" i="11"/>
  <c r="BD45" i="11"/>
  <c r="BF46" i="12"/>
  <c r="BB43" i="10"/>
  <c r="BC43" i="10" s="1"/>
  <c r="AR44" i="9"/>
  <c r="AS44" i="9" s="1"/>
  <c r="BY45" i="9"/>
  <c r="BZ45" i="9" s="1"/>
  <c r="CA45" i="9" s="1"/>
  <c r="AF44" i="10"/>
  <c r="AX44" i="10"/>
  <c r="Q44" i="20"/>
  <c r="BM44" i="10"/>
  <c r="BY44" i="10" s="1" a="1"/>
  <c r="BY44" i="10" s="1"/>
  <c r="AB44" i="10"/>
  <c r="AC44" i="10" s="1"/>
  <c r="AI43" i="10"/>
  <c r="AJ43" i="10" s="1"/>
  <c r="BU44" i="10"/>
  <c r="AK44" i="10"/>
  <c r="V45" i="10"/>
  <c r="AS44" i="10"/>
  <c r="AN47" i="17"/>
  <c r="AR45" i="10"/>
  <c r="AW45" i="10"/>
  <c r="BK45" i="10" s="1"/>
  <c r="BD42" i="10"/>
  <c r="AM42" i="10"/>
  <c r="BN43" i="10"/>
  <c r="BV43" i="10" s="1"/>
  <c r="BW43" i="10" s="1"/>
  <c r="AE44" i="10"/>
  <c r="AQ45" i="10"/>
  <c r="AD45" i="10"/>
  <c r="AP45" i="10"/>
  <c r="AO45" i="10"/>
  <c r="AA45" i="10"/>
  <c r="AH46" i="10" s="1"/>
  <c r="Z45" i="10"/>
  <c r="AY45" i="10"/>
  <c r="BL45" i="10" s="1"/>
  <c r="Y45" i="10"/>
  <c r="AT45" i="10"/>
  <c r="AV45" i="10"/>
  <c r="BJ45" i="10" s="1"/>
  <c r="AU45" i="10"/>
  <c r="BQ45" i="10"/>
  <c r="BO45" i="10"/>
  <c r="BS45" i="10"/>
  <c r="BR45" i="10"/>
  <c r="BP45" i="10"/>
  <c r="BH44" i="10"/>
  <c r="BI44" i="10"/>
  <c r="CC43" i="9" l="1" a="1"/>
  <c r="CC43" i="9" s="1"/>
  <c r="AZ49" i="11"/>
  <c r="BB47" i="11"/>
  <c r="BD43" i="9"/>
  <c r="BL44" i="9"/>
  <c r="BN44" i="9" s="1"/>
  <c r="BB44" i="9"/>
  <c r="BC44" i="9" s="1"/>
  <c r="BT45" i="9" a="1"/>
  <c r="BT45" i="9" s="1"/>
  <c r="AY45" i="9"/>
  <c r="BV44" i="9"/>
  <c r="BW44" i="9" s="1"/>
  <c r="CG31" i="9"/>
  <c r="AG44" i="9"/>
  <c r="AI43" i="9"/>
  <c r="AJ43" i="9" s="1"/>
  <c r="AH44" i="9"/>
  <c r="AK44" i="9" s="1"/>
  <c r="AM42" i="9"/>
  <c r="BA46" i="10"/>
  <c r="AZ46" i="10"/>
  <c r="AG46" i="10"/>
  <c r="AI45" i="12"/>
  <c r="AJ45" i="12" s="1"/>
  <c r="AM45" i="12" s="1"/>
  <c r="AG46" i="12"/>
  <c r="AH46" i="12"/>
  <c r="AK46" i="12" s="1"/>
  <c r="BB43" i="12"/>
  <c r="BC43" i="12" s="1"/>
  <c r="BD43" i="12" s="1"/>
  <c r="AZ44" i="12"/>
  <c r="BA45" i="12" s="1"/>
  <c r="BF47" i="9"/>
  <c r="AM47" i="13"/>
  <c r="BF47" i="11"/>
  <c r="AM46" i="11"/>
  <c r="BD46" i="11"/>
  <c r="BF47" i="12"/>
  <c r="AR45" i="9"/>
  <c r="AS45" i="9" s="1"/>
  <c r="BB44" i="10"/>
  <c r="BC44" i="10" s="1"/>
  <c r="BY46" i="9"/>
  <c r="BZ46" i="9" s="1"/>
  <c r="CA46" i="9" s="1"/>
  <c r="AF45" i="10"/>
  <c r="AX45" i="10"/>
  <c r="N44" i="20"/>
  <c r="BM45" i="10"/>
  <c r="BY45" i="10" s="1" a="1"/>
  <c r="BY45" i="10" s="1"/>
  <c r="AB45" i="10"/>
  <c r="AC45" i="10" s="1"/>
  <c r="AI44" i="10"/>
  <c r="AJ44" i="10" s="1"/>
  <c r="BU45" i="10"/>
  <c r="AK45" i="10"/>
  <c r="V46" i="10"/>
  <c r="AS45" i="10"/>
  <c r="AR46" i="10"/>
  <c r="AW46" i="10"/>
  <c r="BK46" i="10" s="1"/>
  <c r="BD43" i="10"/>
  <c r="AM43" i="10"/>
  <c r="AP46" i="10"/>
  <c r="AO46" i="10"/>
  <c r="AD46" i="10"/>
  <c r="Z46" i="10"/>
  <c r="AY46" i="10"/>
  <c r="BL46" i="10" s="1"/>
  <c r="Y46" i="10"/>
  <c r="AQ46" i="10"/>
  <c r="BA47" i="10" s="1"/>
  <c r="AT46" i="10"/>
  <c r="AA46" i="10"/>
  <c r="AV46" i="10"/>
  <c r="BJ46" i="10" s="1"/>
  <c r="AU46" i="10"/>
  <c r="AE45" i="10"/>
  <c r="O142" i="13"/>
  <c r="AL17" i="13" s="1"/>
  <c r="BH45" i="10"/>
  <c r="BI45" i="10"/>
  <c r="BN44" i="10"/>
  <c r="BV44" i="10" s="1"/>
  <c r="BW44" i="10" s="1"/>
  <c r="BP46" i="10"/>
  <c r="BS46" i="10"/>
  <c r="BR46" i="10"/>
  <c r="BQ46" i="10"/>
  <c r="BO46" i="10"/>
  <c r="BB49" i="11" l="1"/>
  <c r="BC47" i="11"/>
  <c r="BC49" i="11" s="1"/>
  <c r="CC44" i="9" a="1"/>
  <c r="CC44" i="9" s="1"/>
  <c r="AH47" i="10"/>
  <c r="BD44" i="9"/>
  <c r="BT46" i="9" a="1"/>
  <c r="BT46" i="9" s="1"/>
  <c r="BU46" i="9" s="1"/>
  <c r="AY46" i="9"/>
  <c r="BL45" i="9"/>
  <c r="BN45" i="9" s="1"/>
  <c r="BB45" i="9"/>
  <c r="BC45" i="9" s="1"/>
  <c r="BD45" i="9" s="1"/>
  <c r="BU45" i="9"/>
  <c r="CJ30" i="9"/>
  <c r="CH31" i="9"/>
  <c r="AM43" i="9"/>
  <c r="AG45" i="9"/>
  <c r="AI44" i="9"/>
  <c r="AJ44" i="9" s="1"/>
  <c r="AH45" i="9"/>
  <c r="AK45" i="9" s="1"/>
  <c r="AG47" i="10"/>
  <c r="AZ47" i="10"/>
  <c r="BB44" i="12"/>
  <c r="BC44" i="12" s="1"/>
  <c r="AZ45" i="12"/>
  <c r="BA46" i="12" s="1"/>
  <c r="AI46" i="12"/>
  <c r="AJ46" i="12" s="1"/>
  <c r="AM46" i="12" s="1"/>
  <c r="AH47" i="12"/>
  <c r="AG47" i="12"/>
  <c r="AM47" i="11"/>
  <c r="AR46" i="9"/>
  <c r="AS46" i="9" s="1"/>
  <c r="BB45" i="10"/>
  <c r="BC45" i="10" s="1"/>
  <c r="AF46" i="10"/>
  <c r="AX46" i="10"/>
  <c r="BY47" i="9"/>
  <c r="BZ47" i="9" s="1"/>
  <c r="CA47" i="9" s="1"/>
  <c r="BM46" i="10"/>
  <c r="BY46" i="10" s="1" a="1"/>
  <c r="BY46" i="10" s="1"/>
  <c r="AB46" i="10"/>
  <c r="AC46" i="10" s="1"/>
  <c r="BD44" i="10"/>
  <c r="AI45" i="10"/>
  <c r="AJ45" i="10" s="1"/>
  <c r="BU46" i="10"/>
  <c r="AK46" i="10"/>
  <c r="AS46" i="10"/>
  <c r="V47" i="10"/>
  <c r="BT49" i="10"/>
  <c r="AR47" i="10"/>
  <c r="AR49" i="10" s="1"/>
  <c r="T44" i="20" s="1"/>
  <c r="H44" i="20" s="1"/>
  <c r="AW47" i="10"/>
  <c r="AM44" i="10"/>
  <c r="AO47" i="10"/>
  <c r="AA47" i="10"/>
  <c r="AD47" i="10"/>
  <c r="AY47" i="10"/>
  <c r="BL47" i="10" s="1"/>
  <c r="BL49" i="10" s="1"/>
  <c r="Y47" i="10"/>
  <c r="AT47" i="10"/>
  <c r="Z47" i="10"/>
  <c r="Z49" i="10" s="1"/>
  <c r="AP47" i="10"/>
  <c r="AP49" i="10" s="1"/>
  <c r="AQ47" i="10"/>
  <c r="AV47" i="10"/>
  <c r="AU47" i="10"/>
  <c r="AE46" i="10"/>
  <c r="K44" i="20"/>
  <c r="O142" i="11"/>
  <c r="AL17" i="11" s="1"/>
  <c r="BS47" i="10"/>
  <c r="BS49" i="10" s="1"/>
  <c r="BO47" i="10"/>
  <c r="BP47" i="10"/>
  <c r="BR47" i="10"/>
  <c r="BQ47" i="10"/>
  <c r="BN45" i="10"/>
  <c r="BV45" i="10" s="1"/>
  <c r="BW45" i="10" s="1"/>
  <c r="BH46" i="10"/>
  <c r="BI46" i="10"/>
  <c r="BD47" i="11" l="1"/>
  <c r="BD49" i="11" s="1"/>
  <c r="BV45" i="9"/>
  <c r="BW45" i="9" s="1"/>
  <c r="CC45" i="9" a="1"/>
  <c r="CC45" i="9" s="1"/>
  <c r="BT47" i="9" a="1"/>
  <c r="BT47" i="9" s="1"/>
  <c r="AY47" i="9"/>
  <c r="BL46" i="9"/>
  <c r="BN46" i="9" s="1"/>
  <c r="BV46" i="9" s="1"/>
  <c r="BW46" i="9" s="1"/>
  <c r="BB46" i="9"/>
  <c r="BC46" i="9" s="1"/>
  <c r="BD46" i="9" s="1"/>
  <c r="CG32" i="9"/>
  <c r="AG46" i="9"/>
  <c r="AI45" i="9"/>
  <c r="AJ45" i="9" s="1"/>
  <c r="AH46" i="9"/>
  <c r="AK46" i="9" s="1"/>
  <c r="AM44" i="9"/>
  <c r="BP49" i="10"/>
  <c r="BD44" i="12"/>
  <c r="AG49" i="12"/>
  <c r="AI47" i="12"/>
  <c r="AK47" i="12"/>
  <c r="AK49" i="12" s="1"/>
  <c r="AH49" i="12"/>
  <c r="AZ46" i="12"/>
  <c r="BA47" i="12" s="1"/>
  <c r="BB45" i="12"/>
  <c r="BC45" i="12" s="1"/>
  <c r="AR47" i="9"/>
  <c r="AM17" i="11"/>
  <c r="AM49" i="11" s="1"/>
  <c r="AL49" i="11"/>
  <c r="AM17" i="13"/>
  <c r="AM49" i="13" s="1"/>
  <c r="AL49" i="13"/>
  <c r="P48" i="20"/>
  <c r="BB46" i="10"/>
  <c r="BC46" i="10" s="1"/>
  <c r="AF47" i="10"/>
  <c r="AF49" i="10" s="1"/>
  <c r="AX47" i="10"/>
  <c r="AX49" i="10" s="1"/>
  <c r="CA49" i="9"/>
  <c r="BM47" i="10"/>
  <c r="BM49" i="10" s="1"/>
  <c r="AB47" i="10"/>
  <c r="AC47" i="10" s="1"/>
  <c r="AI46" i="10"/>
  <c r="AJ46" i="10" s="1"/>
  <c r="AH49" i="10"/>
  <c r="BU47" i="10"/>
  <c r="AQ49" i="10"/>
  <c r="BA49" i="10"/>
  <c r="AS47" i="10"/>
  <c r="BQ49" i="10"/>
  <c r="BD45" i="10"/>
  <c r="AM45" i="10"/>
  <c r="AA49" i="10"/>
  <c r="AE47" i="10"/>
  <c r="AY49" i="10"/>
  <c r="BN46" i="10"/>
  <c r="BV46" i="10" s="1"/>
  <c r="BW46" i="10" s="1"/>
  <c r="BK47" i="10"/>
  <c r="BK49" i="10" s="1"/>
  <c r="AW49" i="10"/>
  <c r="BR49" i="10"/>
  <c r="AZ49" i="10"/>
  <c r="AG49" i="10"/>
  <c r="Y49" i="10"/>
  <c r="BO49" i="10"/>
  <c r="AO49" i="10"/>
  <c r="BH47" i="10"/>
  <c r="AT49" i="10"/>
  <c r="AD49" i="10"/>
  <c r="BI47" i="10"/>
  <c r="BI49" i="10" s="1"/>
  <c r="AU49" i="10"/>
  <c r="BJ47" i="10"/>
  <c r="BJ49" i="10" s="1"/>
  <c r="AV49" i="10"/>
  <c r="CC46" i="9" l="1" a="1"/>
  <c r="CC46" i="9" s="1"/>
  <c r="BL47" i="9"/>
  <c r="AY49" i="9"/>
  <c r="BB47" i="9"/>
  <c r="BB49" i="9" s="1"/>
  <c r="CC47" i="9" a="1"/>
  <c r="CC47" i="9" s="1"/>
  <c r="CJ31" i="9"/>
  <c r="AM45" i="9"/>
  <c r="AG47" i="9"/>
  <c r="AI46" i="9"/>
  <c r="AJ46" i="9" s="1"/>
  <c r="AH47" i="9"/>
  <c r="CH32" i="9"/>
  <c r="BY47" i="10" a="1"/>
  <c r="BY47" i="10" s="1"/>
  <c r="BY49" i="10" s="1"/>
  <c r="BU49" i="10"/>
  <c r="O142" i="12"/>
  <c r="AL17" i="12" s="1"/>
  <c r="AM17" i="12" s="1"/>
  <c r="BD45" i="12"/>
  <c r="BB46" i="12"/>
  <c r="BC46" i="12" s="1"/>
  <c r="AZ47" i="12"/>
  <c r="AJ47" i="12"/>
  <c r="AI49" i="12"/>
  <c r="AK47" i="10"/>
  <c r="BU47" i="9"/>
  <c r="BT49" i="9"/>
  <c r="AS47" i="9"/>
  <c r="AR49" i="9"/>
  <c r="W44" i="20" s="1"/>
  <c r="N53" i="20"/>
  <c r="N54" i="20"/>
  <c r="J48" i="20"/>
  <c r="M54" i="20"/>
  <c r="AI47" i="10"/>
  <c r="AJ47" i="10" s="1"/>
  <c r="BB47" i="10"/>
  <c r="BB49" i="10" s="1"/>
  <c r="AE49" i="10"/>
  <c r="BD46" i="10"/>
  <c r="AM46" i="10"/>
  <c r="AB49" i="10"/>
  <c r="AC49" i="10"/>
  <c r="BN47" i="10"/>
  <c r="BH49" i="10"/>
  <c r="AS49" i="10"/>
  <c r="BN47" i="9" l="1"/>
  <c r="BN49" i="9" s="1"/>
  <c r="BL49" i="9"/>
  <c r="CG33" i="9"/>
  <c r="AI47" i="9"/>
  <c r="AG49" i="9"/>
  <c r="AK47" i="9"/>
  <c r="AH49" i="9"/>
  <c r="AM46" i="9"/>
  <c r="BD46" i="12"/>
  <c r="AJ49" i="12"/>
  <c r="AL49" i="12" s="1"/>
  <c r="AM47" i="12"/>
  <c r="AM49" i="12" s="1"/>
  <c r="AZ49" i="12"/>
  <c r="BA49" i="12"/>
  <c r="BC47" i="9"/>
  <c r="AS49" i="9"/>
  <c r="BU49" i="9"/>
  <c r="P53" i="20"/>
  <c r="M53" i="20"/>
  <c r="AI49" i="10"/>
  <c r="O144" i="10"/>
  <c r="AL17" i="10" s="1"/>
  <c r="AK49" i="10"/>
  <c r="BC47" i="10"/>
  <c r="AM47" i="10"/>
  <c r="AC12" i="12"/>
  <c r="K55" i="20" s="1"/>
  <c r="BV47" i="10"/>
  <c r="BW47" i="10" s="1"/>
  <c r="BN49" i="10"/>
  <c r="BV47" i="9" l="1"/>
  <c r="CJ32" i="9"/>
  <c r="AK49" i="9"/>
  <c r="O144" i="9"/>
  <c r="AL17" i="9" s="1"/>
  <c r="AI49" i="9"/>
  <c r="AJ47" i="9"/>
  <c r="CH33" i="9"/>
  <c r="BB47" i="12"/>
  <c r="BD47" i="9"/>
  <c r="BD49" i="9" s="1"/>
  <c r="W54" i="20" s="1"/>
  <c r="BC49" i="9"/>
  <c r="W53" i="20" s="1"/>
  <c r="S48" i="20"/>
  <c r="BC49" i="10"/>
  <c r="BD47" i="10"/>
  <c r="BD49" i="10" s="1"/>
  <c r="AC12" i="10"/>
  <c r="T55" i="20" s="1"/>
  <c r="H55" i="20" s="1"/>
  <c r="BW16" i="10"/>
  <c r="F43" i="10" s="1"/>
  <c r="BV49" i="10"/>
  <c r="AJ49" i="10"/>
  <c r="AC12" i="9" l="1"/>
  <c r="BW47" i="9"/>
  <c r="BW16" i="9" s="1"/>
  <c r="F43" i="9" s="1"/>
  <c r="BV49" i="9"/>
  <c r="CG34" i="9"/>
  <c r="CC49" i="9"/>
  <c r="V48" i="20"/>
  <c r="AM17" i="9"/>
  <c r="AJ49" i="9"/>
  <c r="AL49" i="9" s="1"/>
  <c r="AM47" i="9"/>
  <c r="BB49" i="12"/>
  <c r="BC47" i="12"/>
  <c r="J54" i="20"/>
  <c r="J53" i="20"/>
  <c r="T54" i="20"/>
  <c r="H54" i="20" s="1"/>
  <c r="T53" i="20"/>
  <c r="H53" i="20" s="1"/>
  <c r="S53" i="20"/>
  <c r="G53" i="20" s="1"/>
  <c r="AL49" i="10"/>
  <c r="W12" i="10" s="1"/>
  <c r="AM17" i="10"/>
  <c r="AM49" i="10" s="1"/>
  <c r="S54" i="20" s="1"/>
  <c r="G54" i="20" s="1"/>
  <c r="O49" i="9"/>
  <c r="CJ33" i="9" l="1"/>
  <c r="AM49" i="9"/>
  <c r="CH34" i="9"/>
  <c r="BC49" i="12"/>
  <c r="BD47" i="12"/>
  <c r="BD49" i="12" s="1"/>
  <c r="X12" i="10"/>
  <c r="V23" i="20"/>
  <c r="K53" i="20" l="1"/>
  <c r="W12" i="12"/>
  <c r="K54" i="20"/>
  <c r="X12" i="12"/>
  <c r="Y12" i="12" s="1"/>
  <c r="J52" i="20" s="1"/>
  <c r="Y12" i="10"/>
  <c r="S52" i="20" s="1"/>
  <c r="G52" i="20" s="1"/>
  <c r="CJ34" i="9" l="1"/>
  <c r="CG35" i="9"/>
  <c r="CH35" i="9"/>
  <c r="CG36" i="9" l="1"/>
  <c r="V53" i="20"/>
  <c r="CJ35" i="9" l="1"/>
  <c r="CH36" i="9"/>
  <c r="CJ49" i="17"/>
  <c r="CG37" i="9" l="1"/>
  <c r="AT22" i="17"/>
  <c r="CD41" i="17"/>
  <c r="CD20" i="17"/>
  <c r="CJ36" i="9" l="1"/>
  <c r="CH37" i="9"/>
  <c r="CK19" i="17"/>
  <c r="CK41" i="17"/>
  <c r="CG38" i="9" l="1"/>
  <c r="BW49" i="17"/>
  <c r="CJ37" i="9" l="1"/>
  <c r="CH38" i="9"/>
  <c r="CJ38" i="9" l="1"/>
  <c r="CG39" i="9"/>
  <c r="CH39" i="9"/>
  <c r="CJ39" i="9" l="1"/>
  <c r="CG40" i="9" l="1"/>
  <c r="CI40" i="9" s="1"/>
  <c r="CH40" i="9"/>
  <c r="CG41" i="9" l="1"/>
  <c r="CJ40" i="9"/>
  <c r="CH41" i="9" l="1"/>
  <c r="CG42" i="9" l="1"/>
  <c r="CJ41" i="9" l="1"/>
  <c r="CH42" i="9"/>
  <c r="CJ42" i="9" l="1"/>
  <c r="CG43" i="9"/>
  <c r="CH43" i="9"/>
  <c r="CG44" i="9" l="1"/>
  <c r="CJ43" i="9" l="1"/>
  <c r="CH44" i="9"/>
  <c r="CG45" i="9" l="1"/>
  <c r="CJ44" i="9" l="1"/>
  <c r="CH45" i="9"/>
  <c r="CG46" i="9" l="1"/>
  <c r="CJ45" i="9" l="1"/>
  <c r="CH46" i="9"/>
  <c r="CG47" i="9" l="1"/>
  <c r="CJ46" i="9" l="1"/>
  <c r="CH47" i="9"/>
  <c r="CH49" i="9" s="1"/>
  <c r="CG49" i="9" l="1"/>
  <c r="CG13" i="9"/>
  <c r="CJ47" i="9" l="1"/>
  <c r="CI49" i="9"/>
  <c r="CJ49" i="9" l="1"/>
  <c r="AD12" i="9"/>
  <c r="V54" i="20" l="1"/>
  <c r="W55" i="20"/>
  <c r="X12" i="9" l="1"/>
  <c r="Y12" i="9" s="1"/>
  <c r="V52" i="20" s="1"/>
  <c r="W12" i="9"/>
  <c r="X12" i="11"/>
  <c r="Y12" i="11" s="1"/>
  <c r="M52" i="20" s="1"/>
  <c r="AC12" i="11"/>
  <c r="N55" i="20" s="1"/>
  <c r="M48" i="20" l="1"/>
  <c r="G48" i="20" s="1"/>
  <c r="W12" i="11"/>
  <c r="P54" i="20"/>
  <c r="P35" i="13" l="1"/>
  <c r="P79" i="13"/>
  <c r="AZ18" i="13" l="1"/>
  <c r="BB18" i="13" s="1"/>
  <c r="BC18" i="13" s="1"/>
  <c r="BD18" i="13" s="1"/>
  <c r="AZ19" i="13"/>
  <c r="BB19" i="13" s="1"/>
  <c r="BC19" i="13" s="1"/>
  <c r="BD19" i="13" s="1"/>
  <c r="AQ20" i="13"/>
  <c r="Q15" i="20"/>
  <c r="Q16" i="20" s="1"/>
  <c r="BO20" i="13"/>
  <c r="Q36" i="20"/>
  <c r="P80" i="13"/>
  <c r="P82" i="13"/>
  <c r="Q38" i="20" s="1"/>
  <c r="F77" i="13"/>
  <c r="BU20" i="13" l="1"/>
  <c r="BO49" i="13"/>
  <c r="AQ49" i="13"/>
  <c r="AZ20" i="13"/>
  <c r="BA21" i="13" s="1"/>
  <c r="P81" i="13"/>
  <c r="AP20" i="13"/>
  <c r="Q37" i="20"/>
  <c r="AZ21" i="13" l="1"/>
  <c r="BB21" i="13" s="1"/>
  <c r="BC21" i="13" s="1"/>
  <c r="BD21" i="13" s="1"/>
  <c r="BA22" i="13"/>
  <c r="BB20" i="13"/>
  <c r="AZ22" i="13"/>
  <c r="BU49" i="13"/>
  <c r="BV20" i="13"/>
  <c r="BV49" i="13" s="1"/>
  <c r="AS20" i="13"/>
  <c r="AP49" i="13"/>
  <c r="AC12" i="13"/>
  <c r="Q55" i="20" s="1"/>
  <c r="BB22" i="13" l="1"/>
  <c r="BC22" i="13" s="1"/>
  <c r="BD22" i="13" s="1"/>
  <c r="AZ23" i="13"/>
  <c r="BA23" i="13"/>
  <c r="BC20" i="13"/>
  <c r="AS49" i="13"/>
  <c r="BB23" i="13" l="1"/>
  <c r="BC23" i="13" s="1"/>
  <c r="BD23" i="13" s="1"/>
  <c r="AZ24" i="13"/>
  <c r="AZ25" i="13"/>
  <c r="BA24" i="13"/>
  <c r="BD20" i="13"/>
  <c r="BA26" i="13" l="1"/>
  <c r="BB24" i="13"/>
  <c r="BC24" i="13" s="1"/>
  <c r="AZ26" i="13"/>
  <c r="BA25" i="13"/>
  <c r="BB25" i="13" s="1"/>
  <c r="BC25" i="13" s="1"/>
  <c r="BD25" i="13" s="1"/>
  <c r="BB26" i="13" l="1"/>
  <c r="BC26" i="13" s="1"/>
  <c r="BD26" i="13" s="1"/>
  <c r="BA27" i="13"/>
  <c r="BD24" i="13"/>
  <c r="AZ27" i="13"/>
  <c r="CL21" i="17"/>
  <c r="BJ33" i="17"/>
  <c r="BJ46" i="17"/>
  <c r="AV46" i="17" s="1"/>
  <c r="BJ39" i="17"/>
  <c r="AV39" i="17" s="1"/>
  <c r="BJ29" i="17"/>
  <c r="AV29" i="17" s="1"/>
  <c r="BK32" i="17"/>
  <c r="BJ41" i="17"/>
  <c r="BK38" i="17"/>
  <c r="AW38" i="17" s="1"/>
  <c r="BK22" i="17"/>
  <c r="AW22" i="17" s="1"/>
  <c r="BK30" i="17"/>
  <c r="AW30" i="17" s="1"/>
  <c r="BJ40" i="17"/>
  <c r="AV40" i="17" s="1"/>
  <c r="BK34" i="17"/>
  <c r="AW34" i="17" s="1"/>
  <c r="P36" i="17"/>
  <c r="BB27" i="13" l="1"/>
  <c r="BC27" i="13" s="1"/>
  <c r="BA28" i="13"/>
  <c r="AZ28" i="13"/>
  <c r="AW32" i="17"/>
  <c r="AC15" i="20"/>
  <c r="AC16" i="20" s="1"/>
  <c r="BQ20" i="17"/>
  <c r="AV41" i="17"/>
  <c r="AV33" i="17"/>
  <c r="P95" i="17"/>
  <c r="P96" i="17" s="1"/>
  <c r="P104" i="17"/>
  <c r="BK41" i="17"/>
  <c r="BP41" i="17" s="1"/>
  <c r="BK25" i="17"/>
  <c r="BK39" i="17"/>
  <c r="BK36" i="17"/>
  <c r="BK28" i="17"/>
  <c r="BJ18" i="17"/>
  <c r="BK27" i="17"/>
  <c r="BJ24" i="17"/>
  <c r="BJ45" i="17"/>
  <c r="BK37" i="17"/>
  <c r="BK45" i="17"/>
  <c r="BJ37" i="17"/>
  <c r="BJ20" i="17"/>
  <c r="AV20" i="17" s="1"/>
  <c r="BK23" i="17"/>
  <c r="BK46" i="17"/>
  <c r="BK42" i="17"/>
  <c r="BJ34" i="17"/>
  <c r="BJ47" i="17"/>
  <c r="BK40" i="17"/>
  <c r="BP40" i="17" s="1"/>
  <c r="BJ25" i="17"/>
  <c r="BK35" i="17"/>
  <c r="BJ35" i="17"/>
  <c r="BK47" i="17"/>
  <c r="BK21" i="17"/>
  <c r="BK44" i="17"/>
  <c r="BJ43" i="17"/>
  <c r="BK43" i="17"/>
  <c r="BK29" i="17"/>
  <c r="BK26" i="17"/>
  <c r="BJ30" i="17"/>
  <c r="BJ21" i="17"/>
  <c r="BJ32" i="17"/>
  <c r="BJ42" i="17"/>
  <c r="BJ31" i="17"/>
  <c r="BJ23" i="17"/>
  <c r="BK31" i="17"/>
  <c r="BJ27" i="17"/>
  <c r="BK19" i="17"/>
  <c r="BJ38" i="17"/>
  <c r="BJ22" i="17"/>
  <c r="BK24" i="17"/>
  <c r="BJ44" i="17"/>
  <c r="BJ36" i="17"/>
  <c r="BK20" i="17"/>
  <c r="BJ28" i="17"/>
  <c r="BK18" i="17"/>
  <c r="BJ19" i="17"/>
  <c r="BK33" i="17"/>
  <c r="BJ26" i="17"/>
  <c r="BI20" i="17"/>
  <c r="BB28" i="13" l="1"/>
  <c r="BC28" i="13" s="1"/>
  <c r="BD28" i="13" s="1"/>
  <c r="BA29" i="13"/>
  <c r="AZ29" i="13"/>
  <c r="BD27" i="13"/>
  <c r="AV47" i="17"/>
  <c r="BP47" i="17"/>
  <c r="AW27" i="17"/>
  <c r="AV36" i="17"/>
  <c r="BP36" i="17"/>
  <c r="BQ49" i="17"/>
  <c r="AV31" i="17"/>
  <c r="BP31" i="17"/>
  <c r="AW28" i="17"/>
  <c r="AW39" i="17"/>
  <c r="AW29" i="17"/>
  <c r="AW35" i="17"/>
  <c r="AV28" i="17"/>
  <c r="BP28" i="17"/>
  <c r="BP25" i="17"/>
  <c r="AV25" i="17"/>
  <c r="BP42" i="17"/>
  <c r="AV42" i="17"/>
  <c r="AW20" i="17"/>
  <c r="AW41" i="17"/>
  <c r="AV37" i="17"/>
  <c r="BP37" i="17"/>
  <c r="AW33" i="17"/>
  <c r="AW36" i="17"/>
  <c r="AV30" i="17"/>
  <c r="BP30" i="17"/>
  <c r="AW23" i="17"/>
  <c r="AV38" i="17"/>
  <c r="BP38" i="17"/>
  <c r="AW45" i="17"/>
  <c r="AP20" i="17"/>
  <c r="AC35" i="20"/>
  <c r="BP33" i="17"/>
  <c r="BP23" i="17"/>
  <c r="AV23" i="17"/>
  <c r="BJ49" i="17"/>
  <c r="BP18" i="17"/>
  <c r="AV18" i="17"/>
  <c r="BP19" i="17"/>
  <c r="AV19" i="17"/>
  <c r="AV21" i="17"/>
  <c r="BP21" i="17"/>
  <c r="AW42" i="17"/>
  <c r="BP44" i="17"/>
  <c r="AV44" i="17"/>
  <c r="AW43" i="17"/>
  <c r="AW19" i="17"/>
  <c r="BP32" i="17"/>
  <c r="AV32" i="17"/>
  <c r="AW26" i="17"/>
  <c r="BT34" i="17"/>
  <c r="BT26" i="17"/>
  <c r="BT22" i="17"/>
  <c r="BT36" i="17"/>
  <c r="BT29" i="17"/>
  <c r="BT32" i="17"/>
  <c r="BT21" i="17"/>
  <c r="BT39" i="17"/>
  <c r="BT33" i="17"/>
  <c r="BT42" i="17"/>
  <c r="BT37" i="17"/>
  <c r="BT30" i="17"/>
  <c r="BT18" i="17"/>
  <c r="BT47" i="17"/>
  <c r="BT43" i="17"/>
  <c r="BT46" i="17"/>
  <c r="BT44" i="17"/>
  <c r="BT23" i="17"/>
  <c r="BT31" i="17"/>
  <c r="BT27" i="17"/>
  <c r="BT40" i="17"/>
  <c r="BT24" i="17"/>
  <c r="BT45" i="17"/>
  <c r="BT41" i="17"/>
  <c r="BT20" i="17"/>
  <c r="BT35" i="17"/>
  <c r="BT28" i="17"/>
  <c r="BT38" i="17"/>
  <c r="BT25" i="17"/>
  <c r="BT19" i="17"/>
  <c r="AV43" i="17"/>
  <c r="BP43" i="17"/>
  <c r="AW21" i="17"/>
  <c r="AV26" i="17"/>
  <c r="BP26" i="17"/>
  <c r="BP27" i="17"/>
  <c r="AV27" i="17"/>
  <c r="AW47" i="17"/>
  <c r="BP45" i="17"/>
  <c r="AV45" i="17"/>
  <c r="BP39" i="17"/>
  <c r="AW40" i="17"/>
  <c r="AW18" i="17"/>
  <c r="BK49" i="17"/>
  <c r="BP34" i="17"/>
  <c r="AV34" i="17"/>
  <c r="AW25" i="17"/>
  <c r="AW46" i="17"/>
  <c r="BP46" i="17"/>
  <c r="AW24" i="17"/>
  <c r="P99" i="17"/>
  <c r="AC36" i="20"/>
  <c r="BA18" i="17"/>
  <c r="P97" i="17"/>
  <c r="AR20" i="17"/>
  <c r="F94" i="17"/>
  <c r="AV22" i="17"/>
  <c r="BP22" i="17"/>
  <c r="AW44" i="17"/>
  <c r="AU20" i="17"/>
  <c r="BP20" i="17"/>
  <c r="BI49" i="17"/>
  <c r="AW37" i="17"/>
  <c r="BP29" i="17"/>
  <c r="AW31" i="17"/>
  <c r="AV35" i="17"/>
  <c r="BP35" i="17"/>
  <c r="BP24" i="17"/>
  <c r="AV24" i="17"/>
  <c r="BB29" i="13" l="1"/>
  <c r="BC29" i="13" s="1"/>
  <c r="BA30" i="13"/>
  <c r="AZ30" i="13"/>
  <c r="AR49" i="17"/>
  <c r="BA19" i="17"/>
  <c r="AQ20" i="17"/>
  <c r="AQ49" i="17" s="1"/>
  <c r="AC37" i="20"/>
  <c r="BT49" i="17"/>
  <c r="AV49" i="17"/>
  <c r="BC18" i="17"/>
  <c r="AW49" i="17"/>
  <c r="AP49" i="17"/>
  <c r="BP49" i="17"/>
  <c r="AU49" i="17"/>
  <c r="P98" i="17"/>
  <c r="AC38" i="20" s="1"/>
  <c r="BB30" i="13" l="1"/>
  <c r="BC30" i="13" s="1"/>
  <c r="BD30" i="13" s="1"/>
  <c r="BA31" i="13"/>
  <c r="AZ31" i="13"/>
  <c r="BD29" i="13"/>
  <c r="BB21" i="17"/>
  <c r="O161" i="17"/>
  <c r="O162" i="17" s="1"/>
  <c r="AM17" i="17" s="1"/>
  <c r="AM49" i="17" s="1"/>
  <c r="AT20" i="17"/>
  <c r="BD18" i="17"/>
  <c r="BC19" i="17"/>
  <c r="BD19" i="17" s="1"/>
  <c r="BA20" i="17"/>
  <c r="BB31" i="13" l="1"/>
  <c r="BC31" i="13" s="1"/>
  <c r="BA32" i="13"/>
  <c r="AZ32" i="13"/>
  <c r="AB48" i="20"/>
  <c r="AN17" i="17"/>
  <c r="AN49" i="17" s="1"/>
  <c r="AB54" i="20" s="1"/>
  <c r="CD24" i="17"/>
  <c r="CD37" i="17"/>
  <c r="CD21" i="17"/>
  <c r="CD33" i="17"/>
  <c r="CD30" i="17"/>
  <c r="CD27" i="17"/>
  <c r="CD38" i="17"/>
  <c r="CD32" i="17"/>
  <c r="CD23" i="17"/>
  <c r="CD39" i="17"/>
  <c r="CD25" i="17"/>
  <c r="CD36" i="17"/>
  <c r="CD22" i="17"/>
  <c r="CD28" i="17"/>
  <c r="CD40" i="17"/>
  <c r="CD26" i="17"/>
  <c r="CD29" i="17"/>
  <c r="AC31" i="20"/>
  <c r="F105" i="17"/>
  <c r="P129" i="17"/>
  <c r="CD34" i="17"/>
  <c r="CD35" i="17"/>
  <c r="CD31" i="17"/>
  <c r="BE18" i="17"/>
  <c r="BC20" i="17"/>
  <c r="BE19" i="17"/>
  <c r="BA21" i="17"/>
  <c r="BB32" i="13" l="1"/>
  <c r="BC32" i="13" s="1"/>
  <c r="BD32" i="13" s="1"/>
  <c r="BA33" i="13"/>
  <c r="AZ33" i="13"/>
  <c r="BB23" i="17"/>
  <c r="BB22" i="17"/>
  <c r="BD31" i="13"/>
  <c r="BA22" i="17"/>
  <c r="CD49" i="17"/>
  <c r="P135" i="17"/>
  <c r="BX21" i="17" s="1"/>
  <c r="BX49" i="17" s="1"/>
  <c r="BD20" i="17"/>
  <c r="P105" i="17"/>
  <c r="P112" i="17" s="1"/>
  <c r="BB33" i="13" l="1"/>
  <c r="BC33" i="13" s="1"/>
  <c r="BA34" i="13"/>
  <c r="AZ34" i="13"/>
  <c r="CK18" i="17"/>
  <c r="CK40" i="17"/>
  <c r="BA23" i="17"/>
  <c r="BB24" i="17" s="1"/>
  <c r="BE20" i="17"/>
  <c r="BU25" i="17"/>
  <c r="BU28" i="17"/>
  <c r="BU34" i="17"/>
  <c r="BU30" i="17"/>
  <c r="BU42" i="17"/>
  <c r="BU27" i="17"/>
  <c r="BU41" i="17"/>
  <c r="BU32" i="17"/>
  <c r="BU19" i="17"/>
  <c r="BU33" i="17"/>
  <c r="BU21" i="17"/>
  <c r="BU40" i="17"/>
  <c r="BU22" i="17"/>
  <c r="BU23" i="17"/>
  <c r="BU46" i="17"/>
  <c r="BU29" i="17"/>
  <c r="BU26" i="17"/>
  <c r="BU37" i="17"/>
  <c r="BU43" i="17"/>
  <c r="BU47" i="17"/>
  <c r="BU39" i="17"/>
  <c r="BU35" i="17"/>
  <c r="BU45" i="17"/>
  <c r="BU24" i="17"/>
  <c r="BU31" i="17"/>
  <c r="BU36" i="17"/>
  <c r="BU18" i="17"/>
  <c r="BU44" i="17"/>
  <c r="BU38" i="17"/>
  <c r="BU20" i="17"/>
  <c r="CM33" i="17"/>
  <c r="CM47" i="17"/>
  <c r="CM29" i="17"/>
  <c r="CM20" i="17"/>
  <c r="CM22" i="17"/>
  <c r="CM44" i="17"/>
  <c r="CM45" i="17"/>
  <c r="CM21" i="17"/>
  <c r="CM40" i="17"/>
  <c r="CM18" i="17"/>
  <c r="CM31" i="17"/>
  <c r="CM37" i="17"/>
  <c r="CM38" i="17"/>
  <c r="CM46" i="17"/>
  <c r="CM42" i="17"/>
  <c r="CM26" i="17"/>
  <c r="CM39" i="17"/>
  <c r="CM28" i="17"/>
  <c r="CM19" i="17"/>
  <c r="CM27" i="17"/>
  <c r="CM36" i="17"/>
  <c r="CM34" i="17"/>
  <c r="CM25" i="17"/>
  <c r="CM23" i="17"/>
  <c r="CM24" i="17"/>
  <c r="CM32" i="17"/>
  <c r="CM43" i="17"/>
  <c r="CM41" i="17"/>
  <c r="CM35" i="17"/>
  <c r="P106" i="17"/>
  <c r="CL49" i="17" s="1"/>
  <c r="CM30" i="17"/>
  <c r="AT21" i="17"/>
  <c r="BC21" i="17"/>
  <c r="BB34" i="13" l="1"/>
  <c r="BC34" i="13" s="1"/>
  <c r="BD34" i="13" s="1"/>
  <c r="BA35" i="13"/>
  <c r="AZ35" i="13"/>
  <c r="BD33" i="13"/>
  <c r="CE30" i="17" a="1"/>
  <c r="CE30" i="17" s="1"/>
  <c r="BD21" i="17"/>
  <c r="AT49" i="17"/>
  <c r="CE47" i="17" a="1"/>
  <c r="CE47" i="17" s="1"/>
  <c r="CE42" i="17" a="1"/>
  <c r="CE42" i="17" s="1"/>
  <c r="CE34" i="17" a="1"/>
  <c r="CE34" i="17" s="1"/>
  <c r="CE27" i="17" a="1"/>
  <c r="CE27" i="17" s="1"/>
  <c r="CE43" i="17" a="1"/>
  <c r="CE43" i="17" s="1"/>
  <c r="CE28" i="17" a="1"/>
  <c r="CE28" i="17" s="1"/>
  <c r="BA24" i="17"/>
  <c r="BB25" i="17" s="1"/>
  <c r="CE32" i="17" a="1"/>
  <c r="CE32" i="17" s="1"/>
  <c r="CE41" i="17" a="1"/>
  <c r="CE41" i="17" s="1"/>
  <c r="CE46" i="17" a="1"/>
  <c r="CE46" i="17" s="1"/>
  <c r="CE25" i="17" a="1"/>
  <c r="CE25" i="17" s="1"/>
  <c r="CE45" i="17" a="1"/>
  <c r="CE45" i="17" s="1"/>
  <c r="CE35" i="17" a="1"/>
  <c r="CE35" i="17" s="1"/>
  <c r="CE37" i="17" a="1"/>
  <c r="CE37" i="17" s="1"/>
  <c r="CE38" i="17" a="1"/>
  <c r="CE38" i="17" s="1"/>
  <c r="CE44" i="17" a="1"/>
  <c r="CE44" i="17" s="1"/>
  <c r="CE23" i="17" a="1"/>
  <c r="CE23" i="17" s="1"/>
  <c r="BC22" i="17"/>
  <c r="BD22" i="17" s="1"/>
  <c r="CE39" i="17" a="1"/>
  <c r="CE39" i="17" s="1"/>
  <c r="BU49" i="17"/>
  <c r="CE18" i="17" a="1"/>
  <c r="CE18" i="17" s="1"/>
  <c r="CE22" i="17" a="1"/>
  <c r="CE22" i="17" s="1"/>
  <c r="CE20" i="17" a="1"/>
  <c r="CE20" i="17" s="1"/>
  <c r="CM49" i="17"/>
  <c r="CE36" i="17" a="1"/>
  <c r="CE36" i="17" s="1"/>
  <c r="CE40" i="17" a="1"/>
  <c r="CE40" i="17" s="1"/>
  <c r="BC23" i="17"/>
  <c r="P133" i="17"/>
  <c r="P131" i="17"/>
  <c r="CE26" i="17" a="1"/>
  <c r="CE26" i="17" s="1"/>
  <c r="CE21" i="17" a="1"/>
  <c r="CE21" i="17" s="1"/>
  <c r="CE19" i="17" a="1"/>
  <c r="CE19" i="17" s="1"/>
  <c r="CE29" i="17" a="1"/>
  <c r="CE29" i="17" s="1"/>
  <c r="CE31" i="17" a="1"/>
  <c r="CE31" i="17" s="1"/>
  <c r="CE24" i="17" a="1"/>
  <c r="CE24" i="17" s="1"/>
  <c r="CE33" i="17" a="1"/>
  <c r="CE33" i="17" s="1"/>
  <c r="CK49" i="17"/>
  <c r="BB35" i="13" l="1"/>
  <c r="BC35" i="13" s="1"/>
  <c r="BD35" i="13" s="1"/>
  <c r="BA36" i="13"/>
  <c r="AZ36" i="13"/>
  <c r="BD23" i="17"/>
  <c r="CF47" i="17"/>
  <c r="BY47" i="17" s="1"/>
  <c r="BZ47" i="17" s="1"/>
  <c r="CA47" i="17" s="1"/>
  <c r="CF39" i="17"/>
  <c r="BY39" i="17" s="1"/>
  <c r="BZ39" i="17" s="1"/>
  <c r="CA39" i="17" s="1"/>
  <c r="CF46" i="17"/>
  <c r="BY46" i="17" s="1"/>
  <c r="BZ46" i="17" s="1"/>
  <c r="CA46" i="17" s="1"/>
  <c r="BE21" i="17"/>
  <c r="CF21" i="17"/>
  <c r="BY21" i="17" s="1"/>
  <c r="BZ21" i="17" s="1"/>
  <c r="CA21" i="17" s="1"/>
  <c r="CF31" i="17"/>
  <c r="BY31" i="17" s="1"/>
  <c r="BZ31" i="17" s="1"/>
  <c r="CA31" i="17" s="1"/>
  <c r="CF43" i="17"/>
  <c r="BY43" i="17" s="1"/>
  <c r="BZ43" i="17" s="1"/>
  <c r="CA43" i="17" s="1"/>
  <c r="CF26" i="17"/>
  <c r="BY26" i="17" s="1"/>
  <c r="BZ26" i="17" s="1"/>
  <c r="CA26" i="17" s="1"/>
  <c r="CF37" i="17"/>
  <c r="BY37" i="17" s="1"/>
  <c r="BZ37" i="17" s="1"/>
  <c r="CA37" i="17" s="1"/>
  <c r="CF36" i="17"/>
  <c r="BY36" i="17" s="1"/>
  <c r="BZ36" i="17" s="1"/>
  <c r="CA36" i="17" s="1"/>
  <c r="CF27" i="17"/>
  <c r="BY27" i="17" s="1"/>
  <c r="BZ27" i="17" s="1"/>
  <c r="CA27" i="17" s="1"/>
  <c r="BE22" i="17"/>
  <c r="CF30" i="17"/>
  <c r="BY30" i="17" s="1"/>
  <c r="BZ30" i="17" s="1"/>
  <c r="CA30" i="17" s="1"/>
  <c r="CF28" i="17"/>
  <c r="BY28" i="17" s="1"/>
  <c r="BZ28" i="17" s="1"/>
  <c r="CA28" i="17" s="1"/>
  <c r="CF41" i="17"/>
  <c r="BY41" i="17" s="1"/>
  <c r="BZ41" i="17" s="1"/>
  <c r="CA41" i="17" s="1"/>
  <c r="CF35" i="17"/>
  <c r="BY35" i="17" s="1"/>
  <c r="BZ35" i="17" s="1"/>
  <c r="CA35" i="17" s="1"/>
  <c r="CF25" i="17"/>
  <c r="BY25" i="17" s="1"/>
  <c r="BZ25" i="17" s="1"/>
  <c r="CA25" i="17" s="1"/>
  <c r="CF19" i="17"/>
  <c r="BY19" i="17" s="1"/>
  <c r="BZ19" i="17" s="1"/>
  <c r="CA19" i="17" s="1"/>
  <c r="CF23" i="17"/>
  <c r="BY23" i="17" s="1"/>
  <c r="BZ23" i="17" s="1"/>
  <c r="CA23" i="17" s="1"/>
  <c r="CF32" i="17"/>
  <c r="BY32" i="17" s="1"/>
  <c r="BZ32" i="17" s="1"/>
  <c r="CA32" i="17" s="1"/>
  <c r="CF34" i="17"/>
  <c r="BY34" i="17" s="1"/>
  <c r="BZ34" i="17" s="1"/>
  <c r="CA34" i="17" s="1"/>
  <c r="CF33" i="17"/>
  <c r="BY33" i="17" s="1"/>
  <c r="BZ33" i="17" s="1"/>
  <c r="CA33" i="17" s="1"/>
  <c r="CF45" i="17"/>
  <c r="BY45" i="17" s="1"/>
  <c r="BZ45" i="17" s="1"/>
  <c r="CA45" i="17" s="1"/>
  <c r="CF18" i="17"/>
  <c r="CE49" i="17"/>
  <c r="CF20" i="17"/>
  <c r="BY20" i="17" s="1"/>
  <c r="BZ20" i="17" s="1"/>
  <c r="CA20" i="17" s="1"/>
  <c r="CF44" i="17"/>
  <c r="BY44" i="17" s="1"/>
  <c r="BZ44" i="17" s="1"/>
  <c r="CA44" i="17" s="1"/>
  <c r="CF22" i="17"/>
  <c r="BY22" i="17" s="1"/>
  <c r="BZ22" i="17" s="1"/>
  <c r="CA22" i="17" s="1"/>
  <c r="CF40" i="17"/>
  <c r="BY40" i="17" s="1"/>
  <c r="BZ40" i="17" s="1"/>
  <c r="CA40" i="17" s="1"/>
  <c r="CF42" i="17"/>
  <c r="BY42" i="17" s="1"/>
  <c r="BZ42" i="17" s="1"/>
  <c r="CA42" i="17" s="1"/>
  <c r="CF38" i="17"/>
  <c r="BY38" i="17" s="1"/>
  <c r="BZ38" i="17" s="1"/>
  <c r="CA38" i="17" s="1"/>
  <c r="CF29" i="17"/>
  <c r="BY29" i="17" s="1"/>
  <c r="BZ29" i="17" s="1"/>
  <c r="CA29" i="17" s="1"/>
  <c r="CF24" i="17"/>
  <c r="BY24" i="17" s="1"/>
  <c r="BZ24" i="17" s="1"/>
  <c r="CA24" i="17" s="1"/>
  <c r="BC24" i="17"/>
  <c r="BD24" i="17" s="1"/>
  <c r="BA25" i="17"/>
  <c r="BB36" i="13" l="1"/>
  <c r="BC36" i="13" s="1"/>
  <c r="BD36" i="13" s="1"/>
  <c r="BA37" i="13"/>
  <c r="AZ37" i="13"/>
  <c r="BA26" i="17"/>
  <c r="BB27" i="17" s="1"/>
  <c r="BB26" i="17"/>
  <c r="CG43" i="17"/>
  <c r="CG19" i="17"/>
  <c r="CG35" i="17"/>
  <c r="CG22" i="17"/>
  <c r="CG28" i="17"/>
  <c r="CG33" i="17"/>
  <c r="CG29" i="17"/>
  <c r="CG27" i="17"/>
  <c r="CG25" i="17"/>
  <c r="CG46" i="17"/>
  <c r="CG31" i="17"/>
  <c r="CG37" i="17"/>
  <c r="CG41" i="17"/>
  <c r="CG47" i="17"/>
  <c r="CG44" i="17"/>
  <c r="CG32" i="17"/>
  <c r="CG42" i="17"/>
  <c r="BE24" i="17"/>
  <c r="BA27" i="17"/>
  <c r="BB28" i="17" s="1"/>
  <c r="CF49" i="17"/>
  <c r="BY18" i="17"/>
  <c r="CG18" i="17"/>
  <c r="CG45" i="17"/>
  <c r="CG39" i="17"/>
  <c r="CG36" i="17"/>
  <c r="CG26" i="17"/>
  <c r="CG30" i="17"/>
  <c r="CG40" i="17"/>
  <c r="BC25" i="17"/>
  <c r="BD25" i="17" s="1"/>
  <c r="CG34" i="17"/>
  <c r="BE23" i="17"/>
  <c r="CG38" i="17"/>
  <c r="CG24" i="17"/>
  <c r="CG20" i="17"/>
  <c r="CG23" i="17"/>
  <c r="CG21" i="17"/>
  <c r="BB37" i="13" l="1"/>
  <c r="BC37" i="13" s="1"/>
  <c r="BD37" i="13" s="1"/>
  <c r="BA38" i="13"/>
  <c r="AZ38" i="13"/>
  <c r="BC26" i="17"/>
  <c r="BD26" i="17" s="1"/>
  <c r="BE25" i="17"/>
  <c r="BE26" i="17"/>
  <c r="CG49" i="17"/>
  <c r="CO18" i="17"/>
  <c r="BC27" i="17"/>
  <c r="BD27" i="17" s="1"/>
  <c r="BA28" i="17"/>
  <c r="BB29" i="17" s="1"/>
  <c r="BY49" i="17"/>
  <c r="BZ18" i="17"/>
  <c r="BB38" i="13" l="1"/>
  <c r="BC38" i="13" s="1"/>
  <c r="BD38" i="13" s="1"/>
  <c r="BA39" i="13"/>
  <c r="AZ39" i="13"/>
  <c r="BE27" i="17"/>
  <c r="BZ49" i="17"/>
  <c r="CA18" i="17"/>
  <c r="AD12" i="17" s="1"/>
  <c r="BA29" i="17"/>
  <c r="BB30" i="17" s="1"/>
  <c r="BC28" i="17"/>
  <c r="BD28" i="17" s="1"/>
  <c r="BB39" i="13" l="1"/>
  <c r="BC39" i="13" s="1"/>
  <c r="BD39" i="13" s="1"/>
  <c r="BA40" i="13"/>
  <c r="AZ40" i="13"/>
  <c r="BE28" i="17"/>
  <c r="BC29" i="17"/>
  <c r="BD29" i="17" s="1"/>
  <c r="BA30" i="17"/>
  <c r="BB31" i="17" s="1"/>
  <c r="AC55" i="20"/>
  <c r="CA49" i="17"/>
  <c r="CN18" i="17"/>
  <c r="CP18" i="17" s="1"/>
  <c r="BB40" i="13" l="1"/>
  <c r="BC40" i="13" s="1"/>
  <c r="BD40" i="13" s="1"/>
  <c r="BA41" i="13"/>
  <c r="AZ41" i="13"/>
  <c r="BE29" i="17"/>
  <c r="BA31" i="17"/>
  <c r="BB32" i="17" s="1"/>
  <c r="BC30" i="17"/>
  <c r="BD30" i="17" s="1"/>
  <c r="BB41" i="13" l="1"/>
  <c r="BC41" i="13" s="1"/>
  <c r="BD41" i="13" s="1"/>
  <c r="BA42" i="13"/>
  <c r="AZ42" i="13"/>
  <c r="BE30" i="17"/>
  <c r="CQ18" i="17"/>
  <c r="CO19" i="17"/>
  <c r="CN19" i="17"/>
  <c r="CP19" i="17" s="1"/>
  <c r="BA32" i="17"/>
  <c r="BB33" i="17" s="1"/>
  <c r="BC31" i="17"/>
  <c r="BD31" i="17" s="1"/>
  <c r="BB42" i="13" l="1"/>
  <c r="BC42" i="13" s="1"/>
  <c r="BD42" i="13" s="1"/>
  <c r="BA43" i="13"/>
  <c r="AZ43" i="13"/>
  <c r="BE31" i="17"/>
  <c r="BC32" i="17"/>
  <c r="BD32" i="17" s="1"/>
  <c r="BA33" i="17"/>
  <c r="BB34" i="17" s="1"/>
  <c r="CO20" i="17"/>
  <c r="BB43" i="13" l="1"/>
  <c r="BC43" i="13" s="1"/>
  <c r="BD43" i="13" s="1"/>
  <c r="BA44" i="13"/>
  <c r="AZ44" i="13"/>
  <c r="BE32" i="17"/>
  <c r="CQ19" i="17"/>
  <c r="BA34" i="17"/>
  <c r="BB35" i="17" s="1"/>
  <c r="BC33" i="17"/>
  <c r="BD33" i="17" s="1"/>
  <c r="CN20" i="17"/>
  <c r="CP20" i="17" s="1"/>
  <c r="BB44" i="13" l="1"/>
  <c r="BC44" i="13" s="1"/>
  <c r="BD44" i="13" s="1"/>
  <c r="BA45" i="13"/>
  <c r="AZ45" i="13"/>
  <c r="BE33" i="17"/>
  <c r="CN21" i="17"/>
  <c r="BA35" i="17"/>
  <c r="BB36" i="17" s="1"/>
  <c r="BC34" i="17"/>
  <c r="BD34" i="17" s="1"/>
  <c r="BB45" i="13" l="1"/>
  <c r="BC45" i="13" s="1"/>
  <c r="BD45" i="13" s="1"/>
  <c r="BA46" i="13"/>
  <c r="AZ46" i="13"/>
  <c r="BE34" i="17"/>
  <c r="BA36" i="17"/>
  <c r="BB37" i="17" s="1"/>
  <c r="BC35" i="17"/>
  <c r="BD35" i="17" s="1"/>
  <c r="CQ20" i="17"/>
  <c r="CO21" i="17"/>
  <c r="CP21" i="17" s="1"/>
  <c r="BB46" i="13" l="1"/>
  <c r="BC46" i="13" s="1"/>
  <c r="BD46" i="13" s="1"/>
  <c r="BA47" i="13"/>
  <c r="BA49" i="13" s="1"/>
  <c r="AZ47" i="13"/>
  <c r="BE35" i="17"/>
  <c r="BC36" i="17"/>
  <c r="BD36" i="17" s="1"/>
  <c r="BA37" i="17"/>
  <c r="BB38" i="17" s="1"/>
  <c r="AZ49" i="13" l="1"/>
  <c r="BB47" i="13"/>
  <c r="BE36" i="17"/>
  <c r="CQ21" i="17"/>
  <c r="CN22" i="17"/>
  <c r="CO22" i="17"/>
  <c r="BC37" i="17"/>
  <c r="BD37" i="17" s="1"/>
  <c r="BA38" i="17"/>
  <c r="BB39" i="17" s="1"/>
  <c r="BB49" i="13" l="1"/>
  <c r="BC47" i="13"/>
  <c r="CP22" i="17"/>
  <c r="CN23" i="17"/>
  <c r="BE37" i="17"/>
  <c r="BA39" i="17"/>
  <c r="BB40" i="17" s="1"/>
  <c r="BC38" i="17"/>
  <c r="BD38" i="17" s="1"/>
  <c r="BD47" i="13" l="1"/>
  <c r="BD49" i="13" s="1"/>
  <c r="BC49" i="13"/>
  <c r="CO23" i="17"/>
  <c r="CP23" i="17" s="1"/>
  <c r="BE38" i="17"/>
  <c r="CQ22" i="17"/>
  <c r="BC39" i="17"/>
  <c r="BD39" i="17" s="1"/>
  <c r="BA40" i="17"/>
  <c r="BB41" i="17" s="1"/>
  <c r="W12" i="13" l="1"/>
  <c r="Q53" i="20"/>
  <c r="X12" i="13"/>
  <c r="Y12" i="13" s="1"/>
  <c r="P52" i="20" s="1"/>
  <c r="Q54" i="20"/>
  <c r="CQ23" i="17"/>
  <c r="BE39" i="17"/>
  <c r="BC40" i="17"/>
  <c r="BD40" i="17" s="1"/>
  <c r="BA41" i="17"/>
  <c r="BB42" i="17" s="1"/>
  <c r="CO24" i="17"/>
  <c r="CN24" i="17" l="1"/>
  <c r="CP24" i="17" s="1"/>
  <c r="BE40" i="17"/>
  <c r="BA42" i="17"/>
  <c r="BB43" i="17" s="1"/>
  <c r="BC41" i="17"/>
  <c r="BD41" i="17" s="1"/>
  <c r="CQ24" i="17" l="1"/>
  <c r="CO25" i="17"/>
  <c r="CN25" i="17"/>
  <c r="CP25" i="17" s="1"/>
  <c r="BE41" i="17"/>
  <c r="BA43" i="17"/>
  <c r="BB44" i="17" s="1"/>
  <c r="BC42" i="17"/>
  <c r="BD42" i="17" s="1"/>
  <c r="CQ25" i="17" l="1"/>
  <c r="BE42" i="17"/>
  <c r="BA44" i="17"/>
  <c r="BB45" i="17" s="1"/>
  <c r="BC43" i="17"/>
  <c r="BD43" i="17" s="1"/>
  <c r="CN26" i="17" l="1"/>
  <c r="CO26" i="17"/>
  <c r="BE43" i="17"/>
  <c r="BC44" i="17"/>
  <c r="BD44" i="17" s="1"/>
  <c r="BA45" i="17"/>
  <c r="BB46" i="17" s="1"/>
  <c r="CP26" i="17" l="1"/>
  <c r="CQ26" i="17"/>
  <c r="BE44" i="17"/>
  <c r="BC45" i="17"/>
  <c r="BD45" i="17" s="1"/>
  <c r="BA46" i="17"/>
  <c r="BB47" i="17" s="1"/>
  <c r="CO27" i="17" l="1"/>
  <c r="CN27" i="17"/>
  <c r="CP27" i="17" s="1"/>
  <c r="BE45" i="17"/>
  <c r="BC46" i="17"/>
  <c r="BD46" i="17" s="1"/>
  <c r="BA47" i="17"/>
  <c r="CQ27" i="17" l="1"/>
  <c r="CO28" i="17"/>
  <c r="CN28" i="17"/>
  <c r="CP28" i="17" s="1"/>
  <c r="BE46" i="17"/>
  <c r="BB49" i="17"/>
  <c r="BA49" i="17"/>
  <c r="CQ28" i="17" l="1"/>
  <c r="BC47" i="17"/>
  <c r="CO29" i="17" l="1"/>
  <c r="CN29" i="17"/>
  <c r="CP29" i="17" s="1"/>
  <c r="BD47" i="17"/>
  <c r="BC49" i="17"/>
  <c r="CQ29" i="17" l="1"/>
  <c r="BE47" i="17"/>
  <c r="BE49" i="17" s="1"/>
  <c r="BD49" i="17"/>
  <c r="CO30" i="17" l="1"/>
  <c r="CN30" i="17"/>
  <c r="CP30" i="17" s="1"/>
  <c r="AC53" i="20"/>
  <c r="W12" i="17"/>
  <c r="AC54" i="20"/>
  <c r="X12" i="17"/>
  <c r="Y12" i="17" s="1"/>
  <c r="AB52" i="20" s="1"/>
  <c r="CQ30" i="17" l="1"/>
  <c r="CO31" i="17" l="1"/>
  <c r="CN31" i="17"/>
  <c r="CP31" i="17" s="1"/>
  <c r="CQ31" i="17" l="1"/>
  <c r="CN32" i="17" l="1"/>
  <c r="CO32" i="17"/>
  <c r="CP32" i="17" l="1"/>
  <c r="CQ32" i="17"/>
  <c r="CO33" i="17" l="1"/>
  <c r="CN33" i="17"/>
  <c r="CP33" i="17" s="1"/>
  <c r="CQ33" i="17" l="1"/>
  <c r="CO34" i="17" l="1"/>
  <c r="CN34" i="17"/>
  <c r="CP34" i="17" l="1"/>
  <c r="CQ34" i="17" s="1"/>
  <c r="CN35" i="17"/>
  <c r="CO35" i="17" l="1"/>
  <c r="CP35" i="17" s="1"/>
  <c r="CN36" i="17" s="1"/>
  <c r="CO36" i="17" l="1"/>
  <c r="CP36" i="17" s="1"/>
  <c r="CQ35" i="17"/>
  <c r="CQ36" i="17" l="1"/>
  <c r="CN37" i="17" l="1"/>
  <c r="CO37" i="17"/>
  <c r="CP37" i="17" l="1"/>
  <c r="CO38" i="17"/>
  <c r="CQ37" i="17"/>
  <c r="CN38" i="17"/>
  <c r="CP38" i="17" s="1"/>
  <c r="CQ38" i="17" l="1"/>
  <c r="CN39" i="17" l="1"/>
  <c r="CO39" i="17"/>
  <c r="CP39" i="17" l="1"/>
  <c r="CQ39" i="17" s="1"/>
  <c r="CN40" i="17" l="1"/>
  <c r="CP40" i="17" s="1"/>
  <c r="CO40" i="17"/>
  <c r="CQ40" i="17" l="1"/>
  <c r="CN41" i="17" l="1"/>
  <c r="CO41" i="17"/>
  <c r="CP41" i="17" l="1"/>
  <c r="CQ41" i="17" s="1"/>
  <c r="CO42" i="17"/>
  <c r="CN42" i="17" l="1"/>
  <c r="CP42" i="17" s="1"/>
  <c r="CN43" i="17" l="1"/>
  <c r="CO43" i="17"/>
  <c r="CQ42" i="17"/>
  <c r="CP43" i="17" l="1"/>
  <c r="CQ43" i="17" s="1"/>
  <c r="CO44" i="17"/>
  <c r="CN44" i="17" l="1"/>
  <c r="CP44" i="17"/>
  <c r="CO45" i="17" s="1"/>
  <c r="CQ44" i="17" l="1"/>
  <c r="CN45" i="17"/>
  <c r="CP45" i="17" s="1"/>
  <c r="CO46" i="17" s="1"/>
  <c r="CQ45" i="17" l="1"/>
  <c r="CN46" i="17"/>
  <c r="CP46" i="17" s="1"/>
  <c r="CN47" i="17" l="1"/>
  <c r="CN49" i="17"/>
  <c r="CN13" i="17"/>
  <c r="CO47" i="17"/>
  <c r="CO49" i="17" s="1"/>
  <c r="CQ46" i="17"/>
  <c r="CP47" i="17" l="1"/>
  <c r="CD19" i="10"/>
  <c r="CF18" i="10"/>
  <c r="CQ47" i="17" l="1"/>
  <c r="CP49" i="17"/>
  <c r="CC20" i="10"/>
  <c r="CD20" i="10"/>
  <c r="CF19" i="10"/>
  <c r="CC21" i="10" l="1"/>
  <c r="AE12" i="17"/>
  <c r="AC56" i="20" s="1"/>
  <c r="CQ49" i="17"/>
  <c r="CF20" i="10" l="1"/>
  <c r="CD21" i="10"/>
  <c r="CC22" i="10" l="1"/>
  <c r="CF21" i="10"/>
  <c r="CD22" i="10"/>
  <c r="CC23" i="10" l="1"/>
  <c r="CD23" i="10" l="1"/>
  <c r="CF22" i="10"/>
  <c r="CC24" i="10" l="1"/>
  <c r="CF23" i="10" l="1"/>
  <c r="CD24" i="10"/>
  <c r="CF24" i="10" l="1"/>
  <c r="CC25" i="10"/>
  <c r="CD25" i="10"/>
  <c r="CF25" i="10" l="1"/>
  <c r="CC26" i="10" l="1"/>
  <c r="CD26" i="10"/>
  <c r="CC27" i="10" l="1"/>
  <c r="CF26" i="10"/>
  <c r="CD27" i="10" l="1"/>
  <c r="CF27" i="10"/>
  <c r="CC28" i="10" l="1"/>
  <c r="CD28" i="10"/>
  <c r="CF28" i="10" l="1"/>
  <c r="CD29" i="10" l="1"/>
  <c r="CC29" i="10"/>
  <c r="CC30" i="10" l="1"/>
  <c r="CF29" i="10"/>
  <c r="CD30" i="10"/>
  <c r="CF30" i="10" l="1"/>
  <c r="CD31" i="10" l="1"/>
  <c r="CC31" i="10"/>
  <c r="CF31" i="10" l="1"/>
  <c r="CD32" i="10" l="1"/>
  <c r="CC32" i="10"/>
  <c r="CC33" i="10" l="1"/>
  <c r="CD33" i="10"/>
  <c r="CF32" i="10"/>
  <c r="CF33" i="10" l="1"/>
  <c r="CD34" i="10" l="1"/>
  <c r="CC34" i="10"/>
  <c r="CD35" i="10" s="1"/>
  <c r="CC35" i="10" l="1"/>
  <c r="CF35" i="10" s="1"/>
  <c r="CF34" i="10"/>
  <c r="CC36" i="10" l="1"/>
  <c r="CD36" i="10"/>
  <c r="CD37" i="10" l="1"/>
  <c r="CC37" i="10"/>
  <c r="CF36" i="10" l="1"/>
  <c r="CF37" i="10"/>
  <c r="CD38" i="10" l="1"/>
  <c r="CC38" i="10"/>
  <c r="CF38" i="10" l="1"/>
  <c r="CC39" i="10"/>
  <c r="CD39" i="10"/>
  <c r="CF39" i="10" l="1"/>
  <c r="CC40" i="10" l="1"/>
  <c r="CE40" i="10" s="1"/>
  <c r="CD40" i="10"/>
  <c r="CD41" i="10" l="1"/>
  <c r="CF40" i="10" l="1"/>
  <c r="CC41" i="10"/>
  <c r="CF41" i="10" l="1"/>
  <c r="CD42" i="10" l="1"/>
  <c r="CC42" i="10"/>
  <c r="CF42" i="10" l="1"/>
  <c r="CC43" i="10" l="1"/>
  <c r="CF43" i="10" s="1"/>
  <c r="CD43" i="10"/>
  <c r="CD44" i="10" l="1"/>
  <c r="CC44" i="10"/>
  <c r="CF44" i="10" l="1"/>
  <c r="CD45" i="10" l="1"/>
  <c r="CC45" i="10"/>
  <c r="CD46" i="10" l="1"/>
  <c r="CF45" i="10"/>
  <c r="CC46" i="10" l="1"/>
  <c r="CD47" i="10" l="1"/>
  <c r="CD49" i="10" s="1"/>
  <c r="CF46" i="10" l="1"/>
  <c r="CC47" i="10"/>
  <c r="CF47" i="10" s="1"/>
  <c r="CE49" i="10" l="1"/>
  <c r="CC49" i="10"/>
  <c r="CC13" i="10"/>
  <c r="CF49" i="10"/>
  <c r="AD12"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<sst xmlns="http://schemas.openxmlformats.org/spreadsheetml/2006/main" count="3292" uniqueCount="402">
  <si>
    <t>VFMの算定結果</t>
    <rPh sb="4" eb="8">
      <t>サンテイケッカ</t>
    </rPh>
    <phoneticPr fontId="2"/>
  </si>
  <si>
    <t>算定の前提・結果サマリー</t>
    <rPh sb="0" eb="2">
      <t>サンテイ</t>
    </rPh>
    <rPh sb="3" eb="5">
      <t>ゼンテイ</t>
    </rPh>
    <rPh sb="6" eb="8">
      <t>ケッカ</t>
    </rPh>
    <phoneticPr fontId="2"/>
  </si>
  <si>
    <t>1. 共通条件</t>
    <rPh sb="3" eb="5">
      <t>キョウツウ</t>
    </rPh>
    <rPh sb="5" eb="7">
      <t>ジョウケン</t>
    </rPh>
    <phoneticPr fontId="2"/>
  </si>
  <si>
    <t>↓プルダウン選択</t>
    <rPh sb="6" eb="8">
      <t>センタク</t>
    </rPh>
    <phoneticPr fontId="2"/>
  </si>
  <si>
    <t>事業方式</t>
    <rPh sb="0" eb="4">
      <t>ジギョウホウシキ</t>
    </rPh>
    <phoneticPr fontId="2"/>
  </si>
  <si>
    <t>BTO（RO）</t>
  </si>
  <si>
    <t>DB</t>
  </si>
  <si>
    <t>BT</t>
  </si>
  <si>
    <t>DBO</t>
  </si>
  <si>
    <t>BOT/BOO</t>
  </si>
  <si>
    <t>O</t>
  </si>
  <si>
    <t>BT+コンセッション</t>
  </si>
  <si>
    <t>発注者区分</t>
    <rPh sb="0" eb="3">
      <t>ハッチュウシャ</t>
    </rPh>
    <rPh sb="3" eb="5">
      <t>クブン</t>
    </rPh>
    <phoneticPr fontId="2"/>
  </si>
  <si>
    <t>事業期間</t>
    <rPh sb="0" eb="4">
      <t>ジギョウキカン</t>
    </rPh>
    <phoneticPr fontId="2"/>
  </si>
  <si>
    <t>年</t>
    <rPh sb="0" eb="1">
      <t>ネン</t>
    </rPh>
    <phoneticPr fontId="2"/>
  </si>
  <si>
    <t>整備期間</t>
    <rPh sb="0" eb="4">
      <t>セイビキカン</t>
    </rPh>
    <phoneticPr fontId="2"/>
  </si>
  <si>
    <t>維持管理・運営期間</t>
    <rPh sb="0" eb="4">
      <t>イジカンリ</t>
    </rPh>
    <rPh sb="5" eb="9">
      <t>ウンエイキカン</t>
    </rPh>
    <phoneticPr fontId="2"/>
  </si>
  <si>
    <t>2．事業にかかる費用</t>
    <rPh sb="2" eb="4">
      <t>ジギョウ</t>
    </rPh>
    <rPh sb="8" eb="10">
      <t>ヒヨウ</t>
    </rPh>
    <phoneticPr fontId="2"/>
  </si>
  <si>
    <t>PSC</t>
  </si>
  <si>
    <t>PFI LCC</t>
  </si>
  <si>
    <t>施設整備費見込額</t>
    <rPh sb="0" eb="5">
      <t>シセツセイビヒ</t>
    </rPh>
    <rPh sb="5" eb="8">
      <t>ミコミガク</t>
    </rPh>
    <phoneticPr fontId="2"/>
  </si>
  <si>
    <t>百万円</t>
    <rPh sb="0" eb="3">
      <t>ヒャクマンエン</t>
    </rPh>
    <phoneticPr fontId="2"/>
  </si>
  <si>
    <t>参考：競争の効果を反映しない場合の施設整備費見込み額</t>
    <rPh sb="0" eb="2">
      <t>サンコウ</t>
    </rPh>
    <rPh sb="3" eb="4">
      <t>ソウ</t>
    </rPh>
    <rPh sb="5" eb="7">
      <t>コウカ</t>
    </rPh>
    <rPh sb="8" eb="10">
      <t>ハンエイ</t>
    </rPh>
    <rPh sb="13" eb="15">
      <t>バアイ</t>
    </rPh>
    <rPh sb="16" eb="21">
      <t>シセツセイビヒ</t>
    </rPh>
    <rPh sb="21" eb="23">
      <t>ミコ</t>
    </rPh>
    <rPh sb="24" eb="25">
      <t>ガク</t>
    </rPh>
    <phoneticPr fontId="2"/>
  </si>
  <si>
    <t>施設整備費の支払い条件</t>
    <rPh sb="0" eb="5">
      <t>シセツセイビヒ</t>
    </rPh>
    <rPh sb="6" eb="8">
      <t>シハラ</t>
    </rPh>
    <rPh sb="9" eb="11">
      <t>ジョウケン</t>
    </rPh>
    <phoneticPr fontId="2"/>
  </si>
  <si>
    <t>完工時、一括払</t>
  </si>
  <si>
    <t>％</t>
    <phoneticPr fontId="2"/>
  </si>
  <si>
    <t>完工後、割賦払</t>
  </si>
  <si>
    <t>維持管理・運営費見込額</t>
    <rPh sb="0" eb="4">
      <t>イジカンリ</t>
    </rPh>
    <rPh sb="5" eb="8">
      <t>ウンエイヒ</t>
    </rPh>
    <rPh sb="8" eb="11">
      <t>ミコミガク</t>
    </rPh>
    <phoneticPr fontId="2"/>
  </si>
  <si>
    <t>年額（運営初年度）</t>
    <rPh sb="0" eb="2">
      <t>ネンガク</t>
    </rPh>
    <rPh sb="3" eb="5">
      <t>ウンエイ</t>
    </rPh>
    <rPh sb="5" eb="8">
      <t>ショネンド</t>
    </rPh>
    <phoneticPr fontId="2"/>
  </si>
  <si>
    <t>総額</t>
    <rPh sb="0" eb="2">
      <t>ソウガク</t>
    </rPh>
    <phoneticPr fontId="2"/>
  </si>
  <si>
    <t>参考：競争の効果を反映しない場合の維持管理・運営費見込み額</t>
    <rPh sb="0" eb="2">
      <t>サンコウ</t>
    </rPh>
    <rPh sb="3" eb="5">
      <t>キョウソウ</t>
    </rPh>
    <rPh sb="6" eb="8">
      <t>コウカ</t>
    </rPh>
    <rPh sb="9" eb="11">
      <t>ハンエイ</t>
    </rPh>
    <rPh sb="14" eb="16">
      <t>バアイ</t>
    </rPh>
    <rPh sb="17" eb="19">
      <t>イジ</t>
    </rPh>
    <rPh sb="19" eb="21">
      <t>カンリ</t>
    </rPh>
    <rPh sb="22" eb="24">
      <t>ウンエイ</t>
    </rPh>
    <rPh sb="24" eb="25">
      <t>ヒ</t>
    </rPh>
    <rPh sb="25" eb="27">
      <t>ミコ</t>
    </rPh>
    <rPh sb="28" eb="29">
      <t>ガク</t>
    </rPh>
    <phoneticPr fontId="2"/>
  </si>
  <si>
    <t>３．事業にかかる収入</t>
    <rPh sb="2" eb="4">
      <t>ジギョウ</t>
    </rPh>
    <rPh sb="8" eb="10">
      <t>シュウニュウ</t>
    </rPh>
    <phoneticPr fontId="2"/>
  </si>
  <si>
    <t>利用料金収入</t>
    <rPh sb="0" eb="4">
      <t>リヨウリョウキン</t>
    </rPh>
    <rPh sb="4" eb="6">
      <t>シュウニュウ</t>
    </rPh>
    <phoneticPr fontId="2"/>
  </si>
  <si>
    <t>年額（運営初年度）</t>
    <rPh sb="0" eb="2">
      <t>ネンガク</t>
    </rPh>
    <rPh sb="3" eb="8">
      <t>ウンエイショネンド</t>
    </rPh>
    <phoneticPr fontId="2"/>
  </si>
  <si>
    <t>運営権対価</t>
    <rPh sb="0" eb="5">
      <t>ウンエイケンタイカ</t>
    </rPh>
    <phoneticPr fontId="2"/>
  </si>
  <si>
    <t>４．事業にかかる資金調達</t>
    <rPh sb="2" eb="4">
      <t>ジギョウ</t>
    </rPh>
    <rPh sb="8" eb="12">
      <t>シキンチョウタツ</t>
    </rPh>
    <phoneticPr fontId="2"/>
  </si>
  <si>
    <t>公共債の発行</t>
    <rPh sb="0" eb="3">
      <t>コウキョウサイ</t>
    </rPh>
    <rPh sb="4" eb="6">
      <t>ハッコウ</t>
    </rPh>
    <phoneticPr fontId="2"/>
  </si>
  <si>
    <t>補助金</t>
  </si>
  <si>
    <t>起債発行額（額）</t>
  </si>
  <si>
    <t>起債への交付金（額）</t>
  </si>
  <si>
    <t>起債償還額（年額）</t>
  </si>
  <si>
    <t>地方債利率</t>
    <rPh sb="0" eb="3">
      <t>チホウサイ</t>
    </rPh>
    <rPh sb="3" eb="5">
      <t>リリツ</t>
    </rPh>
    <phoneticPr fontId="2"/>
  </si>
  <si>
    <t>PFI実施時の割賦金利</t>
    <rPh sb="3" eb="5">
      <t>ジッシ</t>
    </rPh>
    <rPh sb="5" eb="6">
      <t>ジ</t>
    </rPh>
    <rPh sb="7" eb="11">
      <t>カップキンリ</t>
    </rPh>
    <phoneticPr fontId="2"/>
  </si>
  <si>
    <t>５．事業に係る税金</t>
    <rPh sb="2" eb="4">
      <t>ジギョウ</t>
    </rPh>
    <rPh sb="5" eb="6">
      <t>カカ</t>
    </rPh>
    <rPh sb="7" eb="9">
      <t>ゼイキン</t>
    </rPh>
    <phoneticPr fontId="2"/>
  </si>
  <si>
    <t>PFI実施時の税収</t>
    <rPh sb="3" eb="5">
      <t>ジッシ</t>
    </rPh>
    <rPh sb="5" eb="6">
      <t>ジ</t>
    </rPh>
    <rPh sb="7" eb="9">
      <t>ゼイシュウ</t>
    </rPh>
    <phoneticPr fontId="2"/>
  </si>
  <si>
    <t>６．リスク調整</t>
    <rPh sb="5" eb="7">
      <t>チョウセイ</t>
    </rPh>
    <phoneticPr fontId="2"/>
  </si>
  <si>
    <t>リスク調整額</t>
    <rPh sb="3" eb="5">
      <t>チョウセイ</t>
    </rPh>
    <rPh sb="5" eb="6">
      <t>ガク</t>
    </rPh>
    <phoneticPr fontId="2"/>
  </si>
  <si>
    <t>7. 算定結果サマリー</t>
    <rPh sb="3" eb="5">
      <t>サンテイ</t>
    </rPh>
    <rPh sb="5" eb="7">
      <t>ケッカ</t>
    </rPh>
    <phoneticPr fontId="2"/>
  </si>
  <si>
    <t>VFM</t>
    <phoneticPr fontId="2"/>
  </si>
  <si>
    <t>%</t>
    <phoneticPr fontId="2"/>
  </si>
  <si>
    <t>収支</t>
    <rPh sb="0" eb="2">
      <t>シュウシ</t>
    </rPh>
    <phoneticPr fontId="2"/>
  </si>
  <si>
    <t>収支（リスク調整・現在価値割引後）</t>
    <rPh sb="0" eb="2">
      <t>シュウシ</t>
    </rPh>
    <rPh sb="6" eb="8">
      <t>チョウセイ</t>
    </rPh>
    <rPh sb="9" eb="11">
      <t>ゲンザイ</t>
    </rPh>
    <rPh sb="11" eb="13">
      <t>カチ</t>
    </rPh>
    <rPh sb="13" eb="16">
      <t>ワリビキゴ</t>
    </rPh>
    <phoneticPr fontId="2"/>
  </si>
  <si>
    <t>PIRR</t>
    <phoneticPr fontId="2"/>
  </si>
  <si>
    <t>％</t>
  </si>
  <si>
    <t>■事業費内訳入力（削減率・物価上昇率込み）</t>
    <rPh sb="1" eb="4">
      <t>ジギョウヒ</t>
    </rPh>
    <rPh sb="4" eb="6">
      <t>ウチワケ</t>
    </rPh>
    <rPh sb="6" eb="8">
      <t>ニュウリョク</t>
    </rPh>
    <rPh sb="9" eb="12">
      <t>サクゲンリツ</t>
    </rPh>
    <rPh sb="13" eb="18">
      <t>ブッカジョウショウリツ</t>
    </rPh>
    <rPh sb="18" eb="19">
      <t>コ</t>
    </rPh>
    <phoneticPr fontId="2"/>
  </si>
  <si>
    <t>PSC</t>
    <phoneticPr fontId="2"/>
  </si>
  <si>
    <t>削減率（DB/DBO）</t>
    <rPh sb="0" eb="3">
      <t>サクゲンリツ</t>
    </rPh>
    <phoneticPr fontId="2"/>
  </si>
  <si>
    <t>削減率（BT/BTO/BOO/BOT)）</t>
    <rPh sb="0" eb="3">
      <t>サクゲンリツ</t>
    </rPh>
    <phoneticPr fontId="2"/>
  </si>
  <si>
    <t>物価上昇率</t>
    <rPh sb="0" eb="5">
      <t>ブッカジョウショウリツ</t>
    </rPh>
    <phoneticPr fontId="2"/>
  </si>
  <si>
    <t>施設整備費</t>
    <rPh sb="0" eb="5">
      <t>シセツセイビヒ</t>
    </rPh>
    <phoneticPr fontId="2"/>
  </si>
  <si>
    <t>過去の落札価格等に基づく積算額</t>
    <rPh sb="0" eb="2">
      <t>カコ</t>
    </rPh>
    <rPh sb="3" eb="5">
      <t>ラクサツ</t>
    </rPh>
    <rPh sb="5" eb="7">
      <t>カカク</t>
    </rPh>
    <rPh sb="7" eb="8">
      <t>トウ</t>
    </rPh>
    <rPh sb="9" eb="10">
      <t>モト</t>
    </rPh>
    <rPh sb="12" eb="15">
      <t>セキサンガク</t>
    </rPh>
    <phoneticPr fontId="2"/>
  </si>
  <si>
    <t>予算単価に基づく積算額</t>
    <rPh sb="0" eb="4">
      <t>ヨサンタンカ</t>
    </rPh>
    <rPh sb="5" eb="6">
      <t>モト</t>
    </rPh>
    <rPh sb="8" eb="11">
      <t>セキサンガク</t>
    </rPh>
    <phoneticPr fontId="2"/>
  </si>
  <si>
    <t>維持管理運営費（年額）</t>
    <rPh sb="0" eb="4">
      <t>イジカンリ</t>
    </rPh>
    <rPh sb="4" eb="7">
      <t>ウンエイヒ</t>
    </rPh>
    <rPh sb="8" eb="10">
      <t>ネンガク</t>
    </rPh>
    <phoneticPr fontId="2"/>
  </si>
  <si>
    <t>人件費</t>
    <rPh sb="0" eb="3">
      <t>ジンケンヒ</t>
    </rPh>
    <phoneticPr fontId="2"/>
  </si>
  <si>
    <t>修繕費</t>
    <rPh sb="0" eb="3">
      <t>シュウゼンヒ</t>
    </rPh>
    <phoneticPr fontId="2"/>
  </si>
  <si>
    <t>動力費</t>
    <rPh sb="0" eb="3">
      <t>ドウリョクヒ</t>
    </rPh>
    <phoneticPr fontId="2"/>
  </si>
  <si>
    <t>任意入力項目①</t>
    <rPh sb="0" eb="2">
      <t>ニンイ</t>
    </rPh>
    <rPh sb="2" eb="4">
      <t>ニュウリョク</t>
    </rPh>
    <rPh sb="4" eb="6">
      <t>コウモク</t>
    </rPh>
    <phoneticPr fontId="2"/>
  </si>
  <si>
    <t>任意入力項目②</t>
    <rPh sb="0" eb="2">
      <t>ニンイ</t>
    </rPh>
    <rPh sb="2" eb="4">
      <t>ニュウリョク</t>
    </rPh>
    <rPh sb="4" eb="6">
      <t>コウモク</t>
    </rPh>
    <phoneticPr fontId="2"/>
  </si>
  <si>
    <t>合計</t>
    <rPh sb="0" eb="2">
      <t>ゴウケイ</t>
    </rPh>
    <phoneticPr fontId="2"/>
  </si>
  <si>
    <t>内、過去の落札価格等に基づく積算額</t>
    <rPh sb="0" eb="1">
      <t>ウチ</t>
    </rPh>
    <rPh sb="2" eb="4">
      <t>カコ</t>
    </rPh>
    <rPh sb="5" eb="7">
      <t>ラクサツ</t>
    </rPh>
    <rPh sb="7" eb="9">
      <t>カカク</t>
    </rPh>
    <rPh sb="9" eb="10">
      <t>トウ</t>
    </rPh>
    <rPh sb="11" eb="12">
      <t>モト</t>
    </rPh>
    <rPh sb="14" eb="17">
      <t>セキサンガク</t>
    </rPh>
    <phoneticPr fontId="2"/>
  </si>
  <si>
    <t>内、予算単価に基づく積算額</t>
    <rPh sb="0" eb="1">
      <t>ウチ</t>
    </rPh>
    <rPh sb="2" eb="6">
      <t>ヨサンタンカ</t>
    </rPh>
    <rPh sb="7" eb="8">
      <t>モト</t>
    </rPh>
    <rPh sb="10" eb="13">
      <t>セキサンガク</t>
    </rPh>
    <phoneticPr fontId="2"/>
  </si>
  <si>
    <t>加重平均削減率（PFI以外）</t>
    <rPh sb="0" eb="4">
      <t>カジュウヘイキン</t>
    </rPh>
    <rPh sb="4" eb="7">
      <t>サクゲンリツ</t>
    </rPh>
    <rPh sb="11" eb="13">
      <t>イガイ</t>
    </rPh>
    <phoneticPr fontId="2"/>
  </si>
  <si>
    <t>加重平均削減率（PFI）</t>
    <rPh sb="0" eb="4">
      <t>カジュウヘイキン</t>
    </rPh>
    <rPh sb="4" eb="7">
      <t>サクゲンリツ</t>
    </rPh>
    <phoneticPr fontId="2"/>
  </si>
  <si>
    <t>加重平均物価上昇率</t>
    <rPh sb="0" eb="4">
      <t>カジュウヘイキン</t>
    </rPh>
    <rPh sb="4" eb="9">
      <t>ブッカジョウショウリツ</t>
    </rPh>
    <phoneticPr fontId="2"/>
  </si>
  <si>
    <t>施設整備費に係る削減率</t>
    <rPh sb="0" eb="2">
      <t>シセツ</t>
    </rPh>
    <rPh sb="2" eb="5">
      <t>セイビヒ</t>
    </rPh>
    <rPh sb="6" eb="7">
      <t>カカ</t>
    </rPh>
    <rPh sb="8" eb="11">
      <t>サクゲンリツ</t>
    </rPh>
    <phoneticPr fontId="2"/>
  </si>
  <si>
    <t>維持管理運営費に係る削減率</t>
    <rPh sb="0" eb="2">
      <t>イジ</t>
    </rPh>
    <rPh sb="2" eb="4">
      <t>カンリ</t>
    </rPh>
    <rPh sb="4" eb="7">
      <t>ウンエイヒ</t>
    </rPh>
    <rPh sb="8" eb="9">
      <t>カカ</t>
    </rPh>
    <rPh sb="10" eb="13">
      <t>サクゲンリツ</t>
    </rPh>
    <phoneticPr fontId="2"/>
  </si>
  <si>
    <t>VFM算定フォーマット（DB） - 前提条件・計算</t>
    <rPh sb="3" eb="5">
      <t>サンテイ</t>
    </rPh>
    <rPh sb="18" eb="22">
      <t>ゼンテイジョウケン</t>
    </rPh>
    <rPh sb="23" eb="25">
      <t>ケイサン</t>
    </rPh>
    <phoneticPr fontId="2"/>
  </si>
  <si>
    <t>VFM算定フォーマット（DB） - アウトプット</t>
    <rPh sb="3" eb="5">
      <t>サンテイ</t>
    </rPh>
    <phoneticPr fontId="2"/>
  </si>
  <si>
    <t>入力箇所の説明</t>
    <rPh sb="0" eb="2">
      <t>ニュウリョク</t>
    </rPh>
    <rPh sb="2" eb="4">
      <t>カショ</t>
    </rPh>
    <rPh sb="5" eb="7">
      <t>セツメイ</t>
    </rPh>
    <phoneticPr fontId="2"/>
  </si>
  <si>
    <t>入力セル（手入力/プルダウンから選択）</t>
    <rPh sb="0" eb="2">
      <t>ニュウリョク</t>
    </rPh>
    <rPh sb="5" eb="8">
      <t>テニュウリョク</t>
    </rPh>
    <rPh sb="16" eb="18">
      <t>センタク</t>
    </rPh>
    <phoneticPr fontId="2"/>
  </si>
  <si>
    <t>デフォルト値</t>
    <rPh sb="5" eb="6">
      <t>アタイ</t>
    </rPh>
    <phoneticPr fontId="2"/>
  </si>
  <si>
    <t>他セルからの参照（入力不要）</t>
    <rPh sb="0" eb="1">
      <t>ホカ</t>
    </rPh>
    <rPh sb="6" eb="8">
      <t>サンショウ</t>
    </rPh>
    <rPh sb="9" eb="13">
      <t>ニュウリョクフヨウ</t>
    </rPh>
    <phoneticPr fontId="2"/>
  </si>
  <si>
    <t>■前提条件入力</t>
    <rPh sb="1" eb="5">
      <t>ゼンテイジョウケン</t>
    </rPh>
    <rPh sb="5" eb="7">
      <t>ニュウリョク</t>
    </rPh>
    <phoneticPr fontId="2"/>
  </si>
  <si>
    <t>■計算</t>
    <rPh sb="1" eb="3">
      <t>ケイサン</t>
    </rPh>
    <phoneticPr fontId="2"/>
  </si>
  <si>
    <t>■収支（アウトプット）</t>
    <rPh sb="1" eb="3">
      <t>シュウシ</t>
    </rPh>
    <phoneticPr fontId="2"/>
  </si>
  <si>
    <t>※収入・費用は全て消費税抜で入力する</t>
    <rPh sb="1" eb="3">
      <t>シュウニュウ</t>
    </rPh>
    <rPh sb="4" eb="6">
      <t>ヒヨウ</t>
    </rPh>
    <rPh sb="7" eb="8">
      <t>スベ</t>
    </rPh>
    <rPh sb="9" eb="12">
      <t>ショウヒゼイ</t>
    </rPh>
    <rPh sb="12" eb="13">
      <t>ヌ</t>
    </rPh>
    <rPh sb="14" eb="16">
      <t>ニュウリョク</t>
    </rPh>
    <phoneticPr fontId="2"/>
  </si>
  <si>
    <t>SPC利回り</t>
    <rPh sb="3" eb="5">
      <t>リマワ</t>
    </rPh>
    <phoneticPr fontId="2"/>
  </si>
  <si>
    <t>単位</t>
    <rPh sb="0" eb="2">
      <t>タンイ</t>
    </rPh>
    <phoneticPr fontId="2"/>
  </si>
  <si>
    <t>PFI LCC/共通条件</t>
    <rPh sb="8" eb="10">
      <t>キョウツウ</t>
    </rPh>
    <rPh sb="10" eb="12">
      <t>ジョウケン</t>
    </rPh>
    <phoneticPr fontId="2"/>
  </si>
  <si>
    <t>備考</t>
    <rPh sb="0" eb="2">
      <t>ビコウ</t>
    </rPh>
    <phoneticPr fontId="2"/>
  </si>
  <si>
    <t>割引後</t>
    <rPh sb="0" eb="2">
      <t>ワリビキ</t>
    </rPh>
    <rPh sb="2" eb="3">
      <t>ゴ</t>
    </rPh>
    <phoneticPr fontId="2"/>
  </si>
  <si>
    <t>１．共通条件</t>
    <rPh sb="2" eb="4">
      <t>キョウツウ</t>
    </rPh>
    <rPh sb="4" eb="6">
      <t>ジョウケン</t>
    </rPh>
    <phoneticPr fontId="2"/>
  </si>
  <si>
    <t>借入金利以上であることを確認</t>
    <rPh sb="0" eb="4">
      <t>カリイレキンリ</t>
    </rPh>
    <rPh sb="4" eb="6">
      <t>イジョウ</t>
    </rPh>
    <rPh sb="12" eb="14">
      <t>カクニン</t>
    </rPh>
    <phoneticPr fontId="2"/>
  </si>
  <si>
    <t>1.1 発注者区分</t>
    <rPh sb="4" eb="7">
      <t>ハッチュウシャ</t>
    </rPh>
    <rPh sb="7" eb="9">
      <t>クブン</t>
    </rPh>
    <phoneticPr fontId="2"/>
  </si>
  <si>
    <t>市町村</t>
    <rPh sb="0" eb="3">
      <t>シチョウソン</t>
    </rPh>
    <phoneticPr fontId="2"/>
  </si>
  <si>
    <t>国</t>
    <rPh sb="0" eb="1">
      <t>クニ</t>
    </rPh>
    <phoneticPr fontId="2"/>
  </si>
  <si>
    <t>都道府県</t>
    <rPh sb="0" eb="4">
      <t>トドウフケン</t>
    </rPh>
    <phoneticPr fontId="2"/>
  </si>
  <si>
    <t>リスク調整額</t>
    <rPh sb="3" eb="6">
      <t>チョウセイガク</t>
    </rPh>
    <phoneticPr fontId="2"/>
  </si>
  <si>
    <t>PFI-LCC</t>
    <phoneticPr fontId="2"/>
  </si>
  <si>
    <t>SPC</t>
    <phoneticPr fontId="2"/>
  </si>
  <si>
    <t>借入金元本返済</t>
    <rPh sb="0" eb="3">
      <t>カリイレキン</t>
    </rPh>
    <rPh sb="3" eb="7">
      <t>ガンポンヘンサイ</t>
    </rPh>
    <phoneticPr fontId="2"/>
  </si>
  <si>
    <t>1.2 事業方式</t>
    <phoneticPr fontId="2"/>
  </si>
  <si>
    <t>-</t>
    <phoneticPr fontId="2"/>
  </si>
  <si>
    <t>DB</t>
    <phoneticPr fontId="2"/>
  </si>
  <si>
    <t>収入</t>
    <rPh sb="0" eb="2">
      <t>シュウニュウ</t>
    </rPh>
    <phoneticPr fontId="2"/>
  </si>
  <si>
    <t>支出</t>
    <rPh sb="0" eb="2">
      <t>シシュツ</t>
    </rPh>
    <phoneticPr fontId="2"/>
  </si>
  <si>
    <t>（現在価値割引後）</t>
    <rPh sb="1" eb="5">
      <t>ゲンザイカチ</t>
    </rPh>
    <rPh sb="5" eb="8">
      <t>ワリビキゴ</t>
    </rPh>
    <phoneticPr fontId="2"/>
  </si>
  <si>
    <t>Checks：割賦収入＞SPC支払</t>
    <rPh sb="7" eb="9">
      <t>カップ</t>
    </rPh>
    <rPh sb="9" eb="11">
      <t>シュウニュウ</t>
    </rPh>
    <rPh sb="15" eb="17">
      <t>シハライ</t>
    </rPh>
    <phoneticPr fontId="2"/>
  </si>
  <si>
    <t>スケジュール</t>
    <phoneticPr fontId="2"/>
  </si>
  <si>
    <t>経過年度</t>
    <rPh sb="0" eb="2">
      <t>ケイカ</t>
    </rPh>
    <rPh sb="2" eb="4">
      <t>ネンド</t>
    </rPh>
    <phoneticPr fontId="2"/>
  </si>
  <si>
    <t>補助金</t>
    <rPh sb="0" eb="3">
      <t>ホジョキン</t>
    </rPh>
    <phoneticPr fontId="2"/>
  </si>
  <si>
    <t>交付金</t>
    <rPh sb="0" eb="3">
      <t>コウフキン</t>
    </rPh>
    <phoneticPr fontId="2"/>
  </si>
  <si>
    <t>起債発行額</t>
    <rPh sb="0" eb="5">
      <t>キサイハッコウガク</t>
    </rPh>
    <phoneticPr fontId="2"/>
  </si>
  <si>
    <t>利用料金
収入</t>
    <rPh sb="0" eb="2">
      <t>リヨウ</t>
    </rPh>
    <rPh sb="2" eb="4">
      <t>リョウキン</t>
    </rPh>
    <rPh sb="5" eb="7">
      <t>シュウニュウ</t>
    </rPh>
    <phoneticPr fontId="2"/>
  </si>
  <si>
    <t>収入計</t>
    <rPh sb="0" eb="2">
      <t>シュウニュウ</t>
    </rPh>
    <rPh sb="2" eb="3">
      <t>ケイ</t>
    </rPh>
    <phoneticPr fontId="2"/>
  </si>
  <si>
    <t>施設整備
費用</t>
    <rPh sb="0" eb="2">
      <t>シセツ</t>
    </rPh>
    <rPh sb="2" eb="4">
      <t>セイビ</t>
    </rPh>
    <rPh sb="5" eb="7">
      <t>ヒヨウ</t>
    </rPh>
    <phoneticPr fontId="2"/>
  </si>
  <si>
    <t>維持管理運営費用</t>
    <rPh sb="0" eb="4">
      <t>イジカンリ</t>
    </rPh>
    <rPh sb="4" eb="8">
      <t>ウンエイヒヨウ</t>
    </rPh>
    <phoneticPr fontId="2"/>
  </si>
  <si>
    <t>その他
公共側コスト</t>
    <rPh sb="2" eb="3">
      <t>タ</t>
    </rPh>
    <rPh sb="4" eb="6">
      <t>コウキョウ</t>
    </rPh>
    <rPh sb="6" eb="7">
      <t>ガワ</t>
    </rPh>
    <phoneticPr fontId="2"/>
  </si>
  <si>
    <t>起債償還額</t>
    <rPh sb="0" eb="2">
      <t>キサイ</t>
    </rPh>
    <rPh sb="2" eb="5">
      <t>ショウカンガク</t>
    </rPh>
    <phoneticPr fontId="2"/>
  </si>
  <si>
    <t>起債利息</t>
    <rPh sb="0" eb="2">
      <t>キサイ</t>
    </rPh>
    <rPh sb="2" eb="4">
      <t>リソク</t>
    </rPh>
    <phoneticPr fontId="2"/>
  </si>
  <si>
    <t>支出計</t>
    <rPh sb="0" eb="2">
      <t>シシュツ</t>
    </rPh>
    <rPh sb="2" eb="3">
      <t>ケイ</t>
    </rPh>
    <phoneticPr fontId="2"/>
  </si>
  <si>
    <t>官民利払費用</t>
    <rPh sb="0" eb="4">
      <t>カンミンリバラ</t>
    </rPh>
    <rPh sb="4" eb="6">
      <t>ヒヨウ</t>
    </rPh>
    <phoneticPr fontId="2"/>
  </si>
  <si>
    <t>税収</t>
    <rPh sb="0" eb="2">
      <t>ゼイシュウ</t>
    </rPh>
    <phoneticPr fontId="2"/>
  </si>
  <si>
    <t>施設整備サービス対価（一括払）</t>
    <rPh sb="0" eb="4">
      <t>シセツセイビ</t>
    </rPh>
    <rPh sb="8" eb="10">
      <t>タイカ</t>
    </rPh>
    <rPh sb="11" eb="14">
      <t>イッカツハラ</t>
    </rPh>
    <phoneticPr fontId="2"/>
  </si>
  <si>
    <t>施設整備サービス対価（割賦元本）</t>
    <rPh sb="0" eb="4">
      <t>シセツセイビ</t>
    </rPh>
    <rPh sb="8" eb="10">
      <t>タイカ</t>
    </rPh>
    <rPh sb="11" eb="15">
      <t>カップガンポン</t>
    </rPh>
    <phoneticPr fontId="2"/>
  </si>
  <si>
    <t>施設整備サービス対価（割賦金利）</t>
    <rPh sb="0" eb="2">
      <t>シセツ</t>
    </rPh>
    <rPh sb="2" eb="4">
      <t>セイビ</t>
    </rPh>
    <rPh sb="8" eb="10">
      <t>タイカ</t>
    </rPh>
    <rPh sb="11" eb="15">
      <t>カップキンリ</t>
    </rPh>
    <phoneticPr fontId="2"/>
  </si>
  <si>
    <t>維持管理運営費用
サービス対価</t>
    <rPh sb="0" eb="2">
      <t>イジ</t>
    </rPh>
    <rPh sb="2" eb="4">
      <t>カンリ</t>
    </rPh>
    <rPh sb="4" eb="6">
      <t>ウンエイ</t>
    </rPh>
    <rPh sb="6" eb="8">
      <t>ヒヨウ</t>
    </rPh>
    <rPh sb="13" eb="15">
      <t>タイカ</t>
    </rPh>
    <phoneticPr fontId="2"/>
  </si>
  <si>
    <t>その他
公共側コスト</t>
  </si>
  <si>
    <t>SPC費用
サービス対価</t>
    <rPh sb="3" eb="5">
      <t>ヒヨウ</t>
    </rPh>
    <rPh sb="10" eb="12">
      <t>タイカ</t>
    </rPh>
    <phoneticPr fontId="2"/>
  </si>
  <si>
    <t>割引係数</t>
    <rPh sb="0" eb="4">
      <t>ワリビキケイスウ</t>
    </rPh>
    <phoneticPr fontId="2"/>
  </si>
  <si>
    <t>施設整備サービス対価（一括払）</t>
    <rPh sb="0" eb="4">
      <t>シセツセイビ</t>
    </rPh>
    <rPh sb="8" eb="10">
      <t>タイカ</t>
    </rPh>
    <rPh sb="11" eb="14">
      <t>イッカツバライ</t>
    </rPh>
    <phoneticPr fontId="2"/>
  </si>
  <si>
    <t>施設整備費用</t>
    <rPh sb="0" eb="6">
      <t>シセツセイビヒヨウ</t>
    </rPh>
    <phoneticPr fontId="2"/>
  </si>
  <si>
    <t>維持管理運営費用</t>
    <rPh sb="0" eb="2">
      <t>イジ</t>
    </rPh>
    <rPh sb="2" eb="4">
      <t>カンリ</t>
    </rPh>
    <rPh sb="4" eb="6">
      <t>ウンエイ</t>
    </rPh>
    <rPh sb="6" eb="8">
      <t>ヒヨウ</t>
    </rPh>
    <phoneticPr fontId="2"/>
  </si>
  <si>
    <t>支払利息</t>
    <rPh sb="0" eb="2">
      <t>シハライ</t>
    </rPh>
    <rPh sb="2" eb="4">
      <t>リソク</t>
    </rPh>
    <phoneticPr fontId="2"/>
  </si>
  <si>
    <t>SPC経費</t>
    <rPh sb="3" eb="5">
      <t>ケイヒ</t>
    </rPh>
    <phoneticPr fontId="2"/>
  </si>
  <si>
    <t>SPC設立
費用</t>
    <rPh sb="3" eb="5">
      <t>セツリツ</t>
    </rPh>
    <rPh sb="6" eb="8">
      <t>ヒヨウ</t>
    </rPh>
    <phoneticPr fontId="2"/>
  </si>
  <si>
    <t>法人税
・公租公課</t>
    <rPh sb="0" eb="3">
      <t>ホウジンゼイ</t>
    </rPh>
    <rPh sb="5" eb="9">
      <t>コウソコウカ</t>
    </rPh>
    <phoneticPr fontId="2"/>
  </si>
  <si>
    <t>PIRR CF</t>
  </si>
  <si>
    <t>1.3 事業期間</t>
    <rPh sb="4" eb="8">
      <t>ジギョウキカン</t>
    </rPh>
    <phoneticPr fontId="2"/>
  </si>
  <si>
    <t>1.3 事業期間（全体）</t>
    <rPh sb="4" eb="8">
      <t>ジギョウキカン</t>
    </rPh>
    <rPh sb="9" eb="11">
      <t>ゼンタイ</t>
    </rPh>
    <phoneticPr fontId="2"/>
  </si>
  <si>
    <t>リスク調整</t>
    <rPh sb="3" eb="5">
      <t>チョウセイ</t>
    </rPh>
    <phoneticPr fontId="2"/>
  </si>
  <si>
    <t>維持管理・運営期間</t>
    <rPh sb="0" eb="4">
      <t>イジカンリ</t>
    </rPh>
    <rPh sb="5" eb="7">
      <t>ウンエイ</t>
    </rPh>
    <rPh sb="7" eb="9">
      <t>キカン</t>
    </rPh>
    <phoneticPr fontId="2"/>
  </si>
  <si>
    <t>整備期間開始日</t>
    <rPh sb="0" eb="4">
      <t>セイビキカン</t>
    </rPh>
    <rPh sb="4" eb="7">
      <t>カイシヒ</t>
    </rPh>
    <phoneticPr fontId="2"/>
  </si>
  <si>
    <t>日付</t>
    <rPh sb="0" eb="2">
      <t>ヒヅケ</t>
    </rPh>
    <phoneticPr fontId="2"/>
  </si>
  <si>
    <t>整備期間終了日</t>
    <rPh sb="0" eb="4">
      <t>セイビキカン</t>
    </rPh>
    <rPh sb="4" eb="7">
      <t>シュウリョウヒ</t>
    </rPh>
    <phoneticPr fontId="2"/>
  </si>
  <si>
    <t>維持管理運営期間開始日</t>
    <rPh sb="0" eb="4">
      <t>イジカンリ</t>
    </rPh>
    <rPh sb="4" eb="8">
      <t>ウンエイキカン</t>
    </rPh>
    <rPh sb="8" eb="11">
      <t>カイシヒ</t>
    </rPh>
    <phoneticPr fontId="2"/>
  </si>
  <si>
    <t>維持管理運営期間終了日</t>
    <rPh sb="0" eb="8">
      <t>イジカンリウンエイキカン</t>
    </rPh>
    <rPh sb="8" eb="11">
      <t>シュウリョウヒ</t>
    </rPh>
    <phoneticPr fontId="2"/>
  </si>
  <si>
    <t>1.4 割引率</t>
    <rPh sb="4" eb="7">
      <t>ワリビキリツ</t>
    </rPh>
    <phoneticPr fontId="2"/>
  </si>
  <si>
    <t>1.4割引率</t>
    <rPh sb="3" eb="6">
      <t>ワリビキリツ</t>
    </rPh>
    <phoneticPr fontId="2"/>
  </si>
  <si>
    <t>リスクフリーレート</t>
    <phoneticPr fontId="2"/>
  </si>
  <si>
    <t>２．事業にかかる費用</t>
    <rPh sb="2" eb="4">
      <t>ジギョウ</t>
    </rPh>
    <rPh sb="8" eb="10">
      <t>ヒヨウ</t>
    </rPh>
    <phoneticPr fontId="2"/>
  </si>
  <si>
    <t>2.1 施設整備費用</t>
    <rPh sb="4" eb="6">
      <t>シセツ</t>
    </rPh>
    <rPh sb="6" eb="10">
      <t>セイビヒヨウ</t>
    </rPh>
    <phoneticPr fontId="2"/>
  </si>
  <si>
    <t>PFI LCC</t>
    <phoneticPr fontId="2"/>
  </si>
  <si>
    <t>過去の落札価格を反映の場合</t>
    <rPh sb="0" eb="2">
      <t>カコ</t>
    </rPh>
    <rPh sb="3" eb="7">
      <t>ラクサツカカク</t>
    </rPh>
    <rPh sb="8" eb="10">
      <t>ハンエイ</t>
    </rPh>
    <rPh sb="11" eb="13">
      <t>バアイ</t>
    </rPh>
    <phoneticPr fontId="2"/>
  </si>
  <si>
    <t>施設整備費用</t>
    <rPh sb="0" eb="2">
      <t>シセツ</t>
    </rPh>
    <rPh sb="2" eb="6">
      <t>セイビヒヨウ</t>
    </rPh>
    <phoneticPr fontId="2"/>
  </si>
  <si>
    <t>PSCは競争の効果反映、LCCは削減率を反映</t>
    <rPh sb="4" eb="6">
      <t>キョウソウ</t>
    </rPh>
    <rPh sb="7" eb="9">
      <t>コウカ</t>
    </rPh>
    <rPh sb="9" eb="11">
      <t>ハンエイ</t>
    </rPh>
    <rPh sb="16" eb="18">
      <t>サクゲン</t>
    </rPh>
    <rPh sb="18" eb="19">
      <t>リツ</t>
    </rPh>
    <rPh sb="20" eb="22">
      <t>ハンエイ</t>
    </rPh>
    <phoneticPr fontId="2"/>
  </si>
  <si>
    <t>PSCの予定価格を反映の場合</t>
    <rPh sb="4" eb="6">
      <t>ヨテイ</t>
    </rPh>
    <rPh sb="6" eb="8">
      <t>カカク</t>
    </rPh>
    <rPh sb="9" eb="11">
      <t>ハンエイ</t>
    </rPh>
    <rPh sb="12" eb="14">
      <t>バアイ</t>
    </rPh>
    <phoneticPr fontId="2"/>
  </si>
  <si>
    <t>完工時、一括払</t>
    <rPh sb="0" eb="2">
      <t>カンコウ</t>
    </rPh>
    <rPh sb="2" eb="3">
      <t>ジ</t>
    </rPh>
    <rPh sb="4" eb="6">
      <t>イッカツ</t>
    </rPh>
    <rPh sb="6" eb="7">
      <t>ハラ</t>
    </rPh>
    <phoneticPr fontId="2"/>
  </si>
  <si>
    <t>完工後、割賦払</t>
    <rPh sb="0" eb="3">
      <t>カンコウゴ</t>
    </rPh>
    <rPh sb="4" eb="7">
      <t>カップバラ</t>
    </rPh>
    <phoneticPr fontId="2"/>
  </si>
  <si>
    <t>施設整備費用の支払内訳  完工時一括払割合</t>
    <rPh sb="13" eb="15">
      <t>カンコウ</t>
    </rPh>
    <rPh sb="15" eb="16">
      <t>ジ</t>
    </rPh>
    <rPh sb="16" eb="18">
      <t>イッカツ</t>
    </rPh>
    <rPh sb="18" eb="19">
      <t>ハラ</t>
    </rPh>
    <rPh sb="19" eb="21">
      <t>ワリアイ</t>
    </rPh>
    <phoneticPr fontId="2"/>
  </si>
  <si>
    <t>割賦払なし</t>
    <rPh sb="0" eb="3">
      <t>カップバラ</t>
    </rPh>
    <phoneticPr fontId="2"/>
  </si>
  <si>
    <t>施設整備費用合計</t>
    <rPh sb="0" eb="2">
      <t>シセツ</t>
    </rPh>
    <rPh sb="2" eb="6">
      <t>セイビヒヨウ</t>
    </rPh>
    <rPh sb="6" eb="8">
      <t>ゴウケイ</t>
    </rPh>
    <phoneticPr fontId="2"/>
  </si>
  <si>
    <t>施設整備費用の支払内訳  割賦払割合</t>
    <rPh sb="13" eb="15">
      <t>カップ</t>
    </rPh>
    <rPh sb="15" eb="16">
      <t>ハラ</t>
    </rPh>
    <rPh sb="16" eb="18">
      <t>ワリアイ</t>
    </rPh>
    <phoneticPr fontId="2"/>
  </si>
  <si>
    <t>2.2 割賦金利</t>
    <rPh sb="4" eb="6">
      <t>カップ</t>
    </rPh>
    <rPh sb="6" eb="8">
      <t>キンリ</t>
    </rPh>
    <phoneticPr fontId="2"/>
  </si>
  <si>
    <t>基準金利</t>
    <rPh sb="0" eb="4">
      <t>キジュンキンリ</t>
    </rPh>
    <phoneticPr fontId="2"/>
  </si>
  <si>
    <t>割賦金利</t>
    <rPh sb="0" eb="4">
      <t>カップキンリ</t>
    </rPh>
    <phoneticPr fontId="2"/>
  </si>
  <si>
    <t>民間資金調達スプレッド</t>
    <rPh sb="0" eb="2">
      <t>ミンカン</t>
    </rPh>
    <rPh sb="2" eb="6">
      <t>シキンチョウタツ</t>
    </rPh>
    <phoneticPr fontId="2"/>
  </si>
  <si>
    <t>スプレッド（民間調達金利への上乗せ分）</t>
    <rPh sb="6" eb="10">
      <t>ミンカンチョウタツ</t>
    </rPh>
    <rPh sb="10" eb="12">
      <t>キンリ</t>
    </rPh>
    <rPh sb="14" eb="16">
      <t>ウワノ</t>
    </rPh>
    <rPh sb="17" eb="18">
      <t>ブン</t>
    </rPh>
    <phoneticPr fontId="2"/>
  </si>
  <si>
    <t>2.3 維持管理運営費用（年額）</t>
    <rPh sb="4" eb="8">
      <t>イジカンリ</t>
    </rPh>
    <rPh sb="8" eb="12">
      <t>ウンエイヒヨウ</t>
    </rPh>
    <rPh sb="13" eb="15">
      <t>ネンガク</t>
    </rPh>
    <phoneticPr fontId="2"/>
  </si>
  <si>
    <t>維持管理・運営なし</t>
    <rPh sb="0" eb="4">
      <t>イジカンリ</t>
    </rPh>
    <rPh sb="5" eb="7">
      <t>ウンエイ</t>
    </rPh>
    <phoneticPr fontId="2"/>
  </si>
  <si>
    <t>維持管理運営費用（年額）</t>
    <rPh sb="0" eb="4">
      <t>イジカンリ</t>
    </rPh>
    <rPh sb="4" eb="8">
      <t>ウンエイヒヨウ</t>
    </rPh>
    <rPh sb="9" eb="11">
      <t>ネンガク</t>
    </rPh>
    <phoneticPr fontId="2"/>
  </si>
  <si>
    <t>うち、過去の落札価格を反映</t>
    <rPh sb="3" eb="5">
      <t>カコ</t>
    </rPh>
    <rPh sb="6" eb="10">
      <t>ラクサツカカク</t>
    </rPh>
    <rPh sb="11" eb="13">
      <t>ハンエイ</t>
    </rPh>
    <phoneticPr fontId="2"/>
  </si>
  <si>
    <t>利用料金収入</t>
    <rPh sb="0" eb="6">
      <t>リヨウリョウキンシュウニュウ</t>
    </rPh>
    <phoneticPr fontId="2"/>
  </si>
  <si>
    <t>うち、予定価格を反映</t>
    <rPh sb="3" eb="5">
      <t>ヨテイ</t>
    </rPh>
    <rPh sb="5" eb="7">
      <t>カカク</t>
    </rPh>
    <rPh sb="8" eb="10">
      <t>ハンエイ</t>
    </rPh>
    <phoneticPr fontId="2"/>
  </si>
  <si>
    <t>利用料金収入考慮後の維持管理運営に係るサービス購入費</t>
    <rPh sb="0" eb="6">
      <t>リヨウリョウキンシュウニュウ</t>
    </rPh>
    <rPh sb="6" eb="8">
      <t>コウリョ</t>
    </rPh>
    <rPh sb="8" eb="9">
      <t>ゴ</t>
    </rPh>
    <rPh sb="10" eb="14">
      <t>イジカンリ</t>
    </rPh>
    <rPh sb="14" eb="16">
      <t>ウンエイ</t>
    </rPh>
    <rPh sb="17" eb="18">
      <t>カカ</t>
    </rPh>
    <rPh sb="23" eb="26">
      <t>コウニュウヒ</t>
    </rPh>
    <phoneticPr fontId="2"/>
  </si>
  <si>
    <t>維持管理運営費用（総額）</t>
    <rPh sb="0" eb="4">
      <t>イジカンリ</t>
    </rPh>
    <rPh sb="4" eb="8">
      <t>ウンエイヒヨウ</t>
    </rPh>
    <rPh sb="9" eb="11">
      <t>ソウガク</t>
    </rPh>
    <phoneticPr fontId="2"/>
  </si>
  <si>
    <t>2.4 その他公共側コスト</t>
    <rPh sb="6" eb="7">
      <t>タ</t>
    </rPh>
    <rPh sb="7" eb="10">
      <t>コウキョウガワ</t>
    </rPh>
    <phoneticPr fontId="2"/>
  </si>
  <si>
    <t>当初費用（アドバイザーフィー等）</t>
    <rPh sb="0" eb="2">
      <t>トウショ</t>
    </rPh>
    <rPh sb="2" eb="4">
      <t>ヒヨウ</t>
    </rPh>
    <rPh sb="14" eb="15">
      <t>トウ</t>
    </rPh>
    <phoneticPr fontId="2"/>
  </si>
  <si>
    <t>モニタリングコスト</t>
    <phoneticPr fontId="2"/>
  </si>
  <si>
    <t>2.5 SPC費用、税金等の取扱い</t>
    <rPh sb="7" eb="9">
      <t>ヒヨウ</t>
    </rPh>
    <rPh sb="10" eb="13">
      <t>ゼイキントウ</t>
    </rPh>
    <rPh sb="14" eb="16">
      <t>トリアツカ</t>
    </rPh>
    <phoneticPr fontId="2"/>
  </si>
  <si>
    <t>SPC設立なし</t>
    <rPh sb="3" eb="5">
      <t>セツリツ</t>
    </rPh>
    <phoneticPr fontId="2"/>
  </si>
  <si>
    <t>SPC設立費用</t>
    <rPh sb="3" eb="7">
      <t>セツリツヒヨウ</t>
    </rPh>
    <phoneticPr fontId="2"/>
  </si>
  <si>
    <t>開業前SPC経費</t>
    <rPh sb="0" eb="3">
      <t>カイギョウマエ</t>
    </rPh>
    <rPh sb="6" eb="8">
      <t>ケイヒ</t>
    </rPh>
    <phoneticPr fontId="2"/>
  </si>
  <si>
    <t>引渡時SPC税金負担</t>
    <rPh sb="0" eb="3">
      <t>ヒキワタシジ</t>
    </rPh>
    <rPh sb="6" eb="10">
      <t>ゼイキンフタン</t>
    </rPh>
    <phoneticPr fontId="2"/>
  </si>
  <si>
    <t>引渡時の不動産取得税・登録免許税</t>
    <rPh sb="0" eb="2">
      <t>ヒキワタシ</t>
    </rPh>
    <rPh sb="2" eb="3">
      <t>ジ</t>
    </rPh>
    <rPh sb="4" eb="7">
      <t>フドウサン</t>
    </rPh>
    <rPh sb="7" eb="10">
      <t>シュトクゼイ</t>
    </rPh>
    <rPh sb="11" eb="16">
      <t>トウロクメンキョゼイ</t>
    </rPh>
    <phoneticPr fontId="2"/>
  </si>
  <si>
    <t>サービス購入費（設立時費用）*サービス購入費に含める場合</t>
    <rPh sb="4" eb="7">
      <t>コウニュウヒ</t>
    </rPh>
    <rPh sb="8" eb="11">
      <t>セツリツジ</t>
    </rPh>
    <rPh sb="11" eb="13">
      <t>ヒヨウ</t>
    </rPh>
    <rPh sb="19" eb="22">
      <t>コウニュウヒ</t>
    </rPh>
    <rPh sb="23" eb="24">
      <t>フク</t>
    </rPh>
    <rPh sb="26" eb="28">
      <t>バアイ</t>
    </rPh>
    <phoneticPr fontId="2"/>
  </si>
  <si>
    <t>割賦元本に加算</t>
    <rPh sb="0" eb="4">
      <t>カップガンポン</t>
    </rPh>
    <rPh sb="5" eb="7">
      <t>カサン</t>
    </rPh>
    <phoneticPr fontId="2"/>
  </si>
  <si>
    <t>SPC経費　年額</t>
    <rPh sb="3" eb="5">
      <t>ケイヒ</t>
    </rPh>
    <rPh sb="6" eb="8">
      <t>ネンガク</t>
    </rPh>
    <phoneticPr fontId="2"/>
  </si>
  <si>
    <t>SPC税金負担</t>
    <rPh sb="3" eb="5">
      <t>ゼイキン</t>
    </rPh>
    <rPh sb="5" eb="7">
      <t>フタン</t>
    </rPh>
    <phoneticPr fontId="2"/>
  </si>
  <si>
    <t>サービス購入費（SPC費用等）年額　*サービス購入費に含める場合</t>
    <rPh sb="4" eb="7">
      <t>コウニュウヒ</t>
    </rPh>
    <rPh sb="11" eb="13">
      <t>ヒヨウ</t>
    </rPh>
    <rPh sb="13" eb="14">
      <t>トウ</t>
    </rPh>
    <rPh sb="15" eb="17">
      <t>ネンガク</t>
    </rPh>
    <phoneticPr fontId="2"/>
  </si>
  <si>
    <t>別途サービス購入費として支払</t>
    <rPh sb="0" eb="2">
      <t>ベット</t>
    </rPh>
    <rPh sb="6" eb="9">
      <t>コウニュウヒ</t>
    </rPh>
    <rPh sb="12" eb="14">
      <t>シハライ</t>
    </rPh>
    <phoneticPr fontId="2"/>
  </si>
  <si>
    <t>2.6調整項目</t>
    <rPh sb="3" eb="7">
      <t>チョウセイコウモク</t>
    </rPh>
    <phoneticPr fontId="2"/>
  </si>
  <si>
    <t>参考：競争の効果の反映を行わない場合</t>
    <rPh sb="0" eb="2">
      <t>サンコウ</t>
    </rPh>
    <rPh sb="3" eb="5">
      <t>キョウソウ</t>
    </rPh>
    <rPh sb="6" eb="8">
      <t>コウカ</t>
    </rPh>
    <rPh sb="9" eb="11">
      <t>ハンエイ</t>
    </rPh>
    <rPh sb="12" eb="13">
      <t>オコナ</t>
    </rPh>
    <rPh sb="16" eb="18">
      <t>バアイ</t>
    </rPh>
    <phoneticPr fontId="2"/>
  </si>
  <si>
    <t>競争の効果反映</t>
    <rPh sb="0" eb="2">
      <t>キョウソウ</t>
    </rPh>
    <rPh sb="3" eb="5">
      <t>コウカ</t>
    </rPh>
    <rPh sb="5" eb="7">
      <t>ハンエイ</t>
    </rPh>
    <phoneticPr fontId="2"/>
  </si>
  <si>
    <t>民間が実施する場合の削減率（施設整備）</t>
    <rPh sb="0" eb="2">
      <t>ミンカン</t>
    </rPh>
    <rPh sb="3" eb="5">
      <t>ジッシ</t>
    </rPh>
    <rPh sb="7" eb="9">
      <t>バアイ</t>
    </rPh>
    <rPh sb="10" eb="13">
      <t>サクゲンリツ</t>
    </rPh>
    <rPh sb="14" eb="18">
      <t>シセツセイビ</t>
    </rPh>
    <phoneticPr fontId="2"/>
  </si>
  <si>
    <t>維持管理運営費用（事業期間合計）</t>
    <rPh sb="0" eb="4">
      <t>イジカンリ</t>
    </rPh>
    <rPh sb="4" eb="6">
      <t>ウンエイ</t>
    </rPh>
    <rPh sb="6" eb="8">
      <t>ヒヨウ</t>
    </rPh>
    <rPh sb="9" eb="11">
      <t>ジギョウ</t>
    </rPh>
    <rPh sb="11" eb="13">
      <t>キカン</t>
    </rPh>
    <rPh sb="13" eb="15">
      <t>ゴウケイ</t>
    </rPh>
    <phoneticPr fontId="2"/>
  </si>
  <si>
    <t>民間が実施する場合の削減率（維持管理運営）</t>
    <rPh sb="0" eb="2">
      <t>ミンカン</t>
    </rPh>
    <rPh sb="3" eb="5">
      <t>ジッシ</t>
    </rPh>
    <rPh sb="7" eb="9">
      <t>バアイ</t>
    </rPh>
    <rPh sb="10" eb="13">
      <t>サクゲンリツ</t>
    </rPh>
    <rPh sb="14" eb="18">
      <t>イジカンリ</t>
    </rPh>
    <rPh sb="18" eb="20">
      <t>ウンエイ</t>
    </rPh>
    <phoneticPr fontId="2"/>
  </si>
  <si>
    <t>事業費総額（利用料金控除前）</t>
    <rPh sb="0" eb="3">
      <t>ジギョウヒ</t>
    </rPh>
    <rPh sb="3" eb="5">
      <t>ソウガク</t>
    </rPh>
    <rPh sb="6" eb="10">
      <t>リヨウリョウキン</t>
    </rPh>
    <rPh sb="10" eb="13">
      <t>コウジョマエ</t>
    </rPh>
    <phoneticPr fontId="2"/>
  </si>
  <si>
    <t>3.1 利用料金収入</t>
    <rPh sb="4" eb="6">
      <t>リヨウ</t>
    </rPh>
    <rPh sb="6" eb="8">
      <t>リョウキン</t>
    </rPh>
    <rPh sb="8" eb="10">
      <t>シュウニュウシュウニュウ</t>
    </rPh>
    <phoneticPr fontId="2"/>
  </si>
  <si>
    <t>4.1 公共側</t>
    <rPh sb="4" eb="7">
      <t>コウキョウガワ</t>
    </rPh>
    <phoneticPr fontId="2"/>
  </si>
  <si>
    <t>PFI-LCC</t>
  </si>
  <si>
    <t>調達必要額</t>
    <rPh sb="0" eb="2">
      <t>チョウタツ</t>
    </rPh>
    <rPh sb="2" eb="5">
      <t>ヒツヨウガク</t>
    </rPh>
    <phoneticPr fontId="2"/>
  </si>
  <si>
    <t>施設整備費用(インフレ考慮後）</t>
    <rPh sb="0" eb="2">
      <t>シセツ</t>
    </rPh>
    <rPh sb="2" eb="6">
      <t>セイビヒヨウ</t>
    </rPh>
    <rPh sb="11" eb="14">
      <t>コウリョゴ</t>
    </rPh>
    <phoneticPr fontId="2"/>
  </si>
  <si>
    <t>補助金収入（％）</t>
    <rPh sb="0" eb="5">
      <t>ホジョキンシュウニュウ</t>
    </rPh>
    <phoneticPr fontId="2"/>
  </si>
  <si>
    <t>起債への交付金（率）（％）</t>
    <rPh sb="0" eb="2">
      <t>キサイ</t>
    </rPh>
    <rPh sb="4" eb="7">
      <t>コウフキン</t>
    </rPh>
    <rPh sb="8" eb="9">
      <t>リツ</t>
    </rPh>
    <phoneticPr fontId="2"/>
  </si>
  <si>
    <t>起債発行額（額）</t>
    <rPh sb="0" eb="2">
      <t>キサイ</t>
    </rPh>
    <rPh sb="2" eb="5">
      <t>ハッコウガク</t>
    </rPh>
    <rPh sb="6" eb="7">
      <t>ガク</t>
    </rPh>
    <phoneticPr fontId="2"/>
  </si>
  <si>
    <t>起債充当率（％）</t>
    <rPh sb="0" eb="2">
      <t>キサイ</t>
    </rPh>
    <rPh sb="2" eb="5">
      <t>ジュウトウリツ</t>
    </rPh>
    <phoneticPr fontId="2"/>
  </si>
  <si>
    <t>起債への交付金（額）</t>
    <rPh sb="0" eb="2">
      <t>キサイ</t>
    </rPh>
    <rPh sb="4" eb="7">
      <t>コウフキン</t>
    </rPh>
    <rPh sb="8" eb="9">
      <t>ガク</t>
    </rPh>
    <phoneticPr fontId="2"/>
  </si>
  <si>
    <t>償還期間（年）</t>
    <rPh sb="0" eb="4">
      <t>ショウカンキカン</t>
    </rPh>
    <rPh sb="5" eb="6">
      <t>ネン</t>
    </rPh>
    <phoneticPr fontId="2"/>
  </si>
  <si>
    <t>一般財源</t>
    <rPh sb="0" eb="4">
      <t>イッパンザイゲン</t>
    </rPh>
    <phoneticPr fontId="2"/>
  </si>
  <si>
    <t>据置年数</t>
    <rPh sb="0" eb="1">
      <t>ス</t>
    </rPh>
    <rPh sb="1" eb="2">
      <t>オ</t>
    </rPh>
    <rPh sb="2" eb="4">
      <t>ネンスウ</t>
    </rPh>
    <phoneticPr fontId="2"/>
  </si>
  <si>
    <t>年</t>
  </si>
  <si>
    <t>起債償還額（年額）</t>
    <rPh sb="0" eb="5">
      <t>キサイショウカンガク</t>
    </rPh>
    <rPh sb="6" eb="8">
      <t>ネンガク</t>
    </rPh>
    <phoneticPr fontId="2"/>
  </si>
  <si>
    <t>地方債利回り（％）</t>
    <rPh sb="0" eb="3">
      <t>チホウサイ</t>
    </rPh>
    <rPh sb="3" eb="5">
      <t>リマワ</t>
    </rPh>
    <phoneticPr fontId="2"/>
  </si>
  <si>
    <t>償還開始年度</t>
    <rPh sb="0" eb="4">
      <t>ショウカンカイシ</t>
    </rPh>
    <rPh sb="4" eb="6">
      <t>ネンド</t>
    </rPh>
    <phoneticPr fontId="2"/>
  </si>
  <si>
    <t>年目</t>
    <rPh sb="0" eb="2">
      <t>ネンメ</t>
    </rPh>
    <phoneticPr fontId="2"/>
  </si>
  <si>
    <t>4.2 SPC側 ※民間調達はなしを前提とする</t>
    <rPh sb="7" eb="8">
      <t>ガワ</t>
    </rPh>
    <rPh sb="10" eb="14">
      <t>ミンカンチョウタツ</t>
    </rPh>
    <rPh sb="18" eb="20">
      <t>ゼンテイ</t>
    </rPh>
    <phoneticPr fontId="2"/>
  </si>
  <si>
    <t>借入金利</t>
    <rPh sb="0" eb="4">
      <t>カリイレキンリ</t>
    </rPh>
    <phoneticPr fontId="2"/>
  </si>
  <si>
    <t>スプレッド</t>
    <phoneticPr fontId="2"/>
  </si>
  <si>
    <t>法人税</t>
    <rPh sb="0" eb="3">
      <t>ホウジンゼイ</t>
    </rPh>
    <phoneticPr fontId="2"/>
  </si>
  <si>
    <t>5.1 法人税等</t>
    <rPh sb="4" eb="7">
      <t>ホウジンゼイ</t>
    </rPh>
    <rPh sb="7" eb="8">
      <t>ナド</t>
    </rPh>
    <phoneticPr fontId="2"/>
  </si>
  <si>
    <t>法人税課税標準（SPC税引前利益）</t>
    <rPh sb="0" eb="3">
      <t>ホウジンゼイ</t>
    </rPh>
    <rPh sb="3" eb="7">
      <t>カゼイヒョウジュン</t>
    </rPh>
    <rPh sb="11" eb="14">
      <t>ゼイビキマエ</t>
    </rPh>
    <rPh sb="14" eb="16">
      <t>リエキ</t>
    </rPh>
    <phoneticPr fontId="2"/>
  </si>
  <si>
    <t>SPC税引前利益</t>
    <rPh sb="3" eb="5">
      <t>ゼイビ</t>
    </rPh>
    <rPh sb="5" eb="6">
      <t>マエ</t>
    </rPh>
    <rPh sb="6" eb="8">
      <t>リエキ</t>
    </rPh>
    <phoneticPr fontId="2"/>
  </si>
  <si>
    <t>実効税率</t>
    <rPh sb="0" eb="4">
      <t>ジッコウゼイリツ</t>
    </rPh>
    <phoneticPr fontId="2"/>
  </si>
  <si>
    <t>税率</t>
    <rPh sb="0" eb="2">
      <t>ゼイリツ</t>
    </rPh>
    <phoneticPr fontId="2"/>
  </si>
  <si>
    <t>法人住民税均等割</t>
    <rPh sb="0" eb="5">
      <t>ホウジンジュウミンゼイ</t>
    </rPh>
    <rPh sb="5" eb="8">
      <t>キントウワ</t>
    </rPh>
    <phoneticPr fontId="2"/>
  </si>
  <si>
    <t>税額</t>
    <rPh sb="0" eb="2">
      <t>ゼイガク</t>
    </rPh>
    <phoneticPr fontId="2"/>
  </si>
  <si>
    <t>資本金1億円以下、従業員50万人以下</t>
    <rPh sb="0" eb="3">
      <t>シホンキン</t>
    </rPh>
    <rPh sb="4" eb="6">
      <t>オクエン</t>
    </rPh>
    <rPh sb="6" eb="8">
      <t>イカ</t>
    </rPh>
    <rPh sb="9" eb="12">
      <t>ジュウギョウイン</t>
    </rPh>
    <rPh sb="14" eb="16">
      <t>マンニン</t>
    </rPh>
    <rPh sb="16" eb="18">
      <t>イカ</t>
    </rPh>
    <phoneticPr fontId="2"/>
  </si>
  <si>
    <t>5.2 公租公課</t>
    <rPh sb="4" eb="8">
      <t>コウソコウカ</t>
    </rPh>
    <phoneticPr fontId="2"/>
  </si>
  <si>
    <t>不動産取得税</t>
    <rPh sb="0" eb="6">
      <t>フドウサンシュトクゼイ</t>
    </rPh>
    <phoneticPr fontId="2"/>
  </si>
  <si>
    <t>課税標準</t>
    <rPh sb="0" eb="4">
      <t>カゼイヒョウジュン</t>
    </rPh>
    <phoneticPr fontId="2"/>
  </si>
  <si>
    <t>固定資産税</t>
    <rPh sb="0" eb="5">
      <t>コテイシサンゼイ</t>
    </rPh>
    <phoneticPr fontId="2"/>
  </si>
  <si>
    <t>BOT・BOO以外は不要</t>
    <rPh sb="7" eb="9">
      <t>イガイ</t>
    </rPh>
    <rPh sb="10" eb="12">
      <t>フヨウ</t>
    </rPh>
    <phoneticPr fontId="2"/>
  </si>
  <si>
    <t>登録免許税</t>
    <rPh sb="0" eb="5">
      <t>トウロクメンキョゼイ</t>
    </rPh>
    <phoneticPr fontId="2"/>
  </si>
  <si>
    <t>固定資産税</t>
    <rPh sb="0" eb="4">
      <t>コテイシサン</t>
    </rPh>
    <rPh sb="4" eb="5">
      <t>ゼイ</t>
    </rPh>
    <phoneticPr fontId="2"/>
  </si>
  <si>
    <t>整備期間中</t>
    <rPh sb="0" eb="5">
      <t>セイビキカンチュウ</t>
    </rPh>
    <phoneticPr fontId="2"/>
  </si>
  <si>
    <t>運営初年度のみ</t>
    <rPh sb="0" eb="2">
      <t>ウンエイ</t>
    </rPh>
    <rPh sb="2" eb="5">
      <t>ショネンド</t>
    </rPh>
    <phoneticPr fontId="2"/>
  </si>
  <si>
    <t>運営期間中</t>
    <rPh sb="0" eb="5">
      <t>ウンエイキカンチュウ</t>
    </rPh>
    <phoneticPr fontId="2"/>
  </si>
  <si>
    <t>5.3 発注者へ納付される税金</t>
    <rPh sb="4" eb="7">
      <t>ハッチュウシャ</t>
    </rPh>
    <rPh sb="8" eb="10">
      <t>ノウフ</t>
    </rPh>
    <rPh sb="13" eb="15">
      <t>ゼイキン</t>
    </rPh>
    <phoneticPr fontId="2"/>
  </si>
  <si>
    <t>（都道府県）事業税</t>
    <rPh sb="1" eb="5">
      <t>トドウフケン</t>
    </rPh>
    <rPh sb="6" eb="9">
      <t>ジギョウゼイ</t>
    </rPh>
    <phoneticPr fontId="2"/>
  </si>
  <si>
    <t>発注者が都道府県の場合、入力</t>
    <rPh sb="0" eb="3">
      <t>ハッチュウシャ</t>
    </rPh>
    <rPh sb="4" eb="8">
      <t>トドウフケン</t>
    </rPh>
    <rPh sb="9" eb="11">
      <t>バアイ</t>
    </rPh>
    <rPh sb="12" eb="14">
      <t>ニュウリョク</t>
    </rPh>
    <phoneticPr fontId="2"/>
  </si>
  <si>
    <t>（都道府県）法人住民税</t>
    <phoneticPr fontId="2"/>
  </si>
  <si>
    <t>課税標準</t>
    <rPh sb="0" eb="2">
      <t>カゼイ</t>
    </rPh>
    <rPh sb="2" eb="4">
      <t>ヒョウジュン</t>
    </rPh>
    <phoneticPr fontId="2"/>
  </si>
  <si>
    <t>（都道府県）法人住民税率</t>
    <rPh sb="1" eb="5">
      <t>トドウフケン</t>
    </rPh>
    <rPh sb="6" eb="12">
      <t>ホウジンジュウミンゼイリツ</t>
    </rPh>
    <phoneticPr fontId="2"/>
  </si>
  <si>
    <t>（市町村）法人住民税</t>
    <rPh sb="1" eb="4">
      <t>シチョウソン</t>
    </rPh>
    <rPh sb="5" eb="7">
      <t>ホウジン</t>
    </rPh>
    <rPh sb="7" eb="10">
      <t>ジュウミンゼイ</t>
    </rPh>
    <phoneticPr fontId="2"/>
  </si>
  <si>
    <t>発注者が市町村又は東京都の場合、入力</t>
    <rPh sb="0" eb="3">
      <t>ハッチュウシャ</t>
    </rPh>
    <rPh sb="4" eb="7">
      <t>シチョウソン</t>
    </rPh>
    <rPh sb="7" eb="8">
      <t>マタ</t>
    </rPh>
    <rPh sb="9" eb="12">
      <t>トウキョウト</t>
    </rPh>
    <rPh sb="13" eb="15">
      <t>バアイ</t>
    </rPh>
    <rPh sb="16" eb="18">
      <t>ニュウリョク</t>
    </rPh>
    <phoneticPr fontId="2"/>
  </si>
  <si>
    <t>（市町村）法人住民税率</t>
    <rPh sb="1" eb="4">
      <t>シチョウソン</t>
    </rPh>
    <rPh sb="5" eb="11">
      <t>ホウジンジュウミンゼイリツ</t>
    </rPh>
    <phoneticPr fontId="2"/>
  </si>
  <si>
    <t>任意入力（全額）①　完工年度のみ</t>
    <rPh sb="0" eb="2">
      <t>ニンイ</t>
    </rPh>
    <rPh sb="2" eb="4">
      <t>ニュウリョク</t>
    </rPh>
    <rPh sb="5" eb="7">
      <t>ゼンガク</t>
    </rPh>
    <rPh sb="10" eb="14">
      <t>カンコウネンド</t>
    </rPh>
    <phoneticPr fontId="2"/>
  </si>
  <si>
    <t>任意入力（全額）②　運営期間中</t>
    <rPh sb="0" eb="2">
      <t>ニンイ</t>
    </rPh>
    <rPh sb="2" eb="4">
      <t>ニュウリョク</t>
    </rPh>
    <rPh sb="5" eb="7">
      <t>ゼンガク</t>
    </rPh>
    <rPh sb="10" eb="15">
      <t>ウンエイキカンチュウ</t>
    </rPh>
    <phoneticPr fontId="2"/>
  </si>
  <si>
    <t>（都道府県）不動産取得税　税額</t>
    <rPh sb="1" eb="5">
      <t>トドウフケン</t>
    </rPh>
    <rPh sb="6" eb="12">
      <t>フドウサンシュトクゼイ</t>
    </rPh>
    <rPh sb="13" eb="15">
      <t>ゼイガク</t>
    </rPh>
    <phoneticPr fontId="2"/>
  </si>
  <si>
    <t>（市町村）固定資産税　税額</t>
    <rPh sb="1" eb="4">
      <t>シチョウソン</t>
    </rPh>
    <rPh sb="5" eb="10">
      <t>コテイシサンゼイ</t>
    </rPh>
    <rPh sb="11" eb="13">
      <t>ゼイガク</t>
    </rPh>
    <phoneticPr fontId="2"/>
  </si>
  <si>
    <t>完工年度のみ</t>
    <rPh sb="0" eb="4">
      <t>カンコウネンド</t>
    </rPh>
    <phoneticPr fontId="2"/>
  </si>
  <si>
    <t>運営初年度のみ</t>
    <rPh sb="0" eb="5">
      <t>ウンエイショネンド</t>
    </rPh>
    <phoneticPr fontId="2"/>
  </si>
  <si>
    <t>６.リスク調整額</t>
    <rPh sb="5" eb="8">
      <t>チョウセイガク</t>
    </rPh>
    <phoneticPr fontId="2"/>
  </si>
  <si>
    <t>6.1 リスク調整</t>
    <rPh sb="7" eb="9">
      <t>チョウセイ</t>
    </rPh>
    <phoneticPr fontId="2"/>
  </si>
  <si>
    <t>5.1SPC設立費用</t>
    <rPh sb="6" eb="10">
      <t>セツリツヒヨウ</t>
    </rPh>
    <phoneticPr fontId="2"/>
  </si>
  <si>
    <t>SPC経費（年額）</t>
    <rPh sb="3" eb="4">
      <t>キョウ</t>
    </rPh>
    <rPh sb="6" eb="8">
      <t>ネンガク</t>
    </rPh>
    <phoneticPr fontId="2"/>
  </si>
  <si>
    <t>5.2SPC経費</t>
    <rPh sb="6" eb="8">
      <t>ケイヒ</t>
    </rPh>
    <phoneticPr fontId="2"/>
  </si>
  <si>
    <t>SPC予備費</t>
    <rPh sb="3" eb="6">
      <t>ヨビヒ</t>
    </rPh>
    <phoneticPr fontId="2"/>
  </si>
  <si>
    <t>5.3SPC予備費</t>
    <rPh sb="6" eb="9">
      <t>ヨビヒ</t>
    </rPh>
    <phoneticPr fontId="2"/>
  </si>
  <si>
    <t>5.4官民での利払い費用の差</t>
    <rPh sb="3" eb="5">
      <t>カンミン</t>
    </rPh>
    <rPh sb="7" eb="9">
      <t>リバラ</t>
    </rPh>
    <rPh sb="10" eb="12">
      <t>ヒヨウ</t>
    </rPh>
    <rPh sb="13" eb="14">
      <t>サ</t>
    </rPh>
    <phoneticPr fontId="2"/>
  </si>
  <si>
    <t>地方債利回り</t>
    <rPh sb="0" eb="3">
      <t>チホウサイ</t>
    </rPh>
    <rPh sb="3" eb="5">
      <t>リマワ</t>
    </rPh>
    <phoneticPr fontId="2"/>
  </si>
  <si>
    <t>民間の借入金利</t>
    <rPh sb="0" eb="2">
      <t>ミンカン</t>
    </rPh>
    <rPh sb="3" eb="5">
      <t>カリイレ</t>
    </rPh>
    <rPh sb="5" eb="7">
      <t>キンリ</t>
    </rPh>
    <phoneticPr fontId="2"/>
  </si>
  <si>
    <t>官民での利払い差（レート）</t>
    <rPh sb="0" eb="2">
      <t>カンミン</t>
    </rPh>
    <rPh sb="4" eb="6">
      <t>リバラ</t>
    </rPh>
    <rPh sb="7" eb="8">
      <t>サ</t>
    </rPh>
    <phoneticPr fontId="2"/>
  </si>
  <si>
    <t>官民利払い費の差</t>
    <rPh sb="0" eb="4">
      <t>カンミンリバラ</t>
    </rPh>
    <rPh sb="5" eb="6">
      <t>ヒ</t>
    </rPh>
    <rPh sb="7" eb="8">
      <t>サ</t>
    </rPh>
    <phoneticPr fontId="2"/>
  </si>
  <si>
    <t>END OF WORKSHEET</t>
    <phoneticPr fontId="2"/>
  </si>
  <si>
    <t>VFM算定フォーマット（BT） - 前提条件・計算</t>
    <rPh sb="3" eb="5">
      <t>サンテイ</t>
    </rPh>
    <rPh sb="18" eb="22">
      <t>ゼンテイジョウケン</t>
    </rPh>
    <rPh sb="23" eb="25">
      <t>ケイサン</t>
    </rPh>
    <phoneticPr fontId="2"/>
  </si>
  <si>
    <t>VFM算定フォーマット（BT） - アウトプット</t>
    <rPh sb="3" eb="5">
      <t>サンテイ</t>
    </rPh>
    <phoneticPr fontId="2"/>
  </si>
  <si>
    <t>BT</t>
    <phoneticPr fontId="2"/>
  </si>
  <si>
    <t>Switch</t>
    <phoneticPr fontId="2"/>
  </si>
  <si>
    <t>2.6 調整項目</t>
    <rPh sb="4" eb="8">
      <t>チョウセイコウモク</t>
    </rPh>
    <phoneticPr fontId="2"/>
  </si>
  <si>
    <t>VFM算定フォーマット（DBO） - 前提条件・計算</t>
    <rPh sb="3" eb="5">
      <t>サンテイ</t>
    </rPh>
    <rPh sb="19" eb="23">
      <t>ゼンテイジョウケン</t>
    </rPh>
    <rPh sb="24" eb="26">
      <t>ケイサン</t>
    </rPh>
    <phoneticPr fontId="2"/>
  </si>
  <si>
    <t>VFM算定フォーマット（DBO） - アウトプット</t>
    <rPh sb="3" eb="5">
      <t>サンテイ</t>
    </rPh>
    <phoneticPr fontId="2"/>
  </si>
  <si>
    <t>DBO</t>
    <phoneticPr fontId="2"/>
  </si>
  <si>
    <t>サービス購入費から控除</t>
    <rPh sb="4" eb="7">
      <t>コウニュウヒ</t>
    </rPh>
    <rPh sb="9" eb="11">
      <t>コウジョ</t>
    </rPh>
    <phoneticPr fontId="2"/>
  </si>
  <si>
    <t>利用料金収入（百万円、年額）</t>
    <rPh sb="0" eb="6">
      <t>リヨウリョウキンシュウニュウ</t>
    </rPh>
    <rPh sb="7" eb="10">
      <t>ヒャクマンエン</t>
    </rPh>
    <rPh sb="11" eb="13">
      <t>ネンガク</t>
    </rPh>
    <phoneticPr fontId="2"/>
  </si>
  <si>
    <t>VFM算定フォーマット（BTO（RO)） - 前提条件・計算</t>
    <rPh sb="3" eb="5">
      <t>サンテイ</t>
    </rPh>
    <rPh sb="23" eb="27">
      <t>ゼンテイジョウケン</t>
    </rPh>
    <rPh sb="28" eb="30">
      <t>ケイサン</t>
    </rPh>
    <phoneticPr fontId="2"/>
  </si>
  <si>
    <t>VFM算定フォーマット（BTO（RO）） - アウトプット</t>
    <rPh sb="3" eb="5">
      <t>サンテイ</t>
    </rPh>
    <phoneticPr fontId="2"/>
  </si>
  <si>
    <t>EIRR</t>
    <phoneticPr fontId="2"/>
  </si>
  <si>
    <t>参考値：SPC借入金利</t>
    <rPh sb="0" eb="2">
      <t>サンコウ</t>
    </rPh>
    <rPh sb="2" eb="3">
      <t>アタイ</t>
    </rPh>
    <rPh sb="7" eb="9">
      <t>カリイレ</t>
    </rPh>
    <rPh sb="9" eb="11">
      <t>キンリ</t>
    </rPh>
    <phoneticPr fontId="2"/>
  </si>
  <si>
    <t>現預金残高Check</t>
    <rPh sb="0" eb="3">
      <t>ゲンヨキン</t>
    </rPh>
    <rPh sb="3" eb="5">
      <t>ザンダカ</t>
    </rPh>
    <phoneticPr fontId="2"/>
  </si>
  <si>
    <t>※割賦金利の影響を相殺するため、借入金利を含んで算定</t>
    <rPh sb="1" eb="5">
      <t>カップキンリ</t>
    </rPh>
    <rPh sb="6" eb="8">
      <t>エイキョウ</t>
    </rPh>
    <rPh sb="9" eb="11">
      <t>ソウサイ</t>
    </rPh>
    <rPh sb="16" eb="18">
      <t>カリイレ</t>
    </rPh>
    <rPh sb="18" eb="20">
      <t>キンリ</t>
    </rPh>
    <rPh sb="21" eb="22">
      <t>フク</t>
    </rPh>
    <rPh sb="24" eb="26">
      <t>サンテイ</t>
    </rPh>
    <phoneticPr fontId="2"/>
  </si>
  <si>
    <t>BTO(RO)</t>
    <phoneticPr fontId="2"/>
  </si>
  <si>
    <t>税引後
当期純利益</t>
    <rPh sb="0" eb="2">
      <t>ゼイビキ</t>
    </rPh>
    <rPh sb="2" eb="3">
      <t>ゴ</t>
    </rPh>
    <rPh sb="4" eb="6">
      <t>トウキ</t>
    </rPh>
    <rPh sb="6" eb="9">
      <t>ジュンリエキ</t>
    </rPh>
    <phoneticPr fontId="2"/>
  </si>
  <si>
    <t>出資・償還</t>
    <rPh sb="0" eb="2">
      <t>シュッシ</t>
    </rPh>
    <rPh sb="3" eb="5">
      <t>ショウカン</t>
    </rPh>
    <phoneticPr fontId="2"/>
  </si>
  <si>
    <t>借入</t>
    <rPh sb="0" eb="2">
      <t>カリイレ</t>
    </rPh>
    <phoneticPr fontId="2"/>
  </si>
  <si>
    <t>返済</t>
    <rPh sb="0" eb="2">
      <t>ヘンサイ</t>
    </rPh>
    <phoneticPr fontId="2"/>
  </si>
  <si>
    <t>配当前
現預金残高</t>
    <rPh sb="0" eb="3">
      <t>ハイトウマエ</t>
    </rPh>
    <rPh sb="4" eb="9">
      <t>ゲンヨキンザンダカ</t>
    </rPh>
    <phoneticPr fontId="2"/>
  </si>
  <si>
    <t>配当前
利益剰余金</t>
    <rPh sb="0" eb="3">
      <t>ハイトウマエ</t>
    </rPh>
    <rPh sb="4" eb="9">
      <t>リエキジョウヨキン</t>
    </rPh>
    <phoneticPr fontId="2"/>
  </si>
  <si>
    <t>配当金</t>
    <rPh sb="0" eb="3">
      <t>ハイトウキン</t>
    </rPh>
    <phoneticPr fontId="2"/>
  </si>
  <si>
    <t>EIRR CF</t>
    <phoneticPr fontId="2"/>
  </si>
  <si>
    <t>2.1 施設整備費用（※ROの場合は改修費として入力すること）</t>
    <rPh sb="4" eb="6">
      <t>シセツ</t>
    </rPh>
    <rPh sb="6" eb="10">
      <t>セイビヒヨウ</t>
    </rPh>
    <rPh sb="15" eb="17">
      <t>バアイ</t>
    </rPh>
    <rPh sb="18" eb="21">
      <t>カイシュウヒ</t>
    </rPh>
    <rPh sb="24" eb="26">
      <t>ニュウリョク</t>
    </rPh>
    <phoneticPr fontId="2"/>
  </si>
  <si>
    <t>Checks:割賦＞SPC収支</t>
    <rPh sb="7" eb="9">
      <t>カップ</t>
    </rPh>
    <rPh sb="13" eb="15">
      <t>シュウシ</t>
    </rPh>
    <phoneticPr fontId="2"/>
  </si>
  <si>
    <t>割賦金利に含めて支払</t>
    <rPh sb="0" eb="4">
      <t>カップキンリ</t>
    </rPh>
    <rPh sb="5" eb="6">
      <t>フク</t>
    </rPh>
    <rPh sb="8" eb="10">
      <t>シハライ</t>
    </rPh>
    <phoneticPr fontId="2"/>
  </si>
  <si>
    <t>サービス購入費として支払</t>
    <rPh sb="4" eb="7">
      <t>コウニュウヒ</t>
    </rPh>
    <rPh sb="10" eb="12">
      <t>シハライ</t>
    </rPh>
    <phoneticPr fontId="2"/>
  </si>
  <si>
    <t>利用料金収入（年額）</t>
    <rPh sb="0" eb="6">
      <t>リヨウリョウキンシュウニュウ</t>
    </rPh>
    <rPh sb="7" eb="9">
      <t>ネンガク</t>
    </rPh>
    <phoneticPr fontId="2"/>
  </si>
  <si>
    <t>必要調達額</t>
    <rPh sb="0" eb="5">
      <t>ヒツヨウチョウタツガク</t>
    </rPh>
    <phoneticPr fontId="2"/>
  </si>
  <si>
    <t>補助金収入</t>
    <rPh sb="0" eb="5">
      <t>ホジョキンシュウニュウ</t>
    </rPh>
    <phoneticPr fontId="2"/>
  </si>
  <si>
    <t>起債への交付金（率）</t>
    <rPh sb="0" eb="2">
      <t>キサイ</t>
    </rPh>
    <rPh sb="4" eb="7">
      <t>コウフキン</t>
    </rPh>
    <rPh sb="8" eb="9">
      <t>リツ</t>
    </rPh>
    <phoneticPr fontId="2"/>
  </si>
  <si>
    <t>起債充当率</t>
    <rPh sb="0" eb="2">
      <t>キサイ</t>
    </rPh>
    <rPh sb="2" eb="5">
      <t>ジュウトウリツ</t>
    </rPh>
    <phoneticPr fontId="2"/>
  </si>
  <si>
    <t>償還期間</t>
    <rPh sb="0" eb="4">
      <t>ショウカンキカン</t>
    </rPh>
    <phoneticPr fontId="2"/>
  </si>
  <si>
    <t>地方債利息</t>
    <rPh sb="0" eb="3">
      <t>チホウサイ</t>
    </rPh>
    <rPh sb="3" eb="5">
      <t>リソク</t>
    </rPh>
    <phoneticPr fontId="2"/>
  </si>
  <si>
    <t>4.2 SPC側</t>
    <rPh sb="7" eb="8">
      <t>ガワ</t>
    </rPh>
    <phoneticPr fontId="2"/>
  </si>
  <si>
    <t>出資額</t>
    <rPh sb="0" eb="3">
      <t>シュッシガク</t>
    </rPh>
    <phoneticPr fontId="2"/>
  </si>
  <si>
    <t>配当設定</t>
    <rPh sb="0" eb="4">
      <t>ハイトウセッテイ</t>
    </rPh>
    <phoneticPr fontId="2"/>
  </si>
  <si>
    <t>0（-)</t>
    <phoneticPr fontId="2"/>
  </si>
  <si>
    <t>事業期間に配当あり</t>
    <rPh sb="0" eb="4">
      <t>ジギョウキカン</t>
    </rPh>
    <rPh sb="5" eb="7">
      <t>ハイトウ</t>
    </rPh>
    <phoneticPr fontId="2"/>
  </si>
  <si>
    <t>事業終了時に一括配当</t>
    <rPh sb="0" eb="2">
      <t>ジギョウ</t>
    </rPh>
    <rPh sb="2" eb="4">
      <t>シュウリョウ</t>
    </rPh>
    <rPh sb="4" eb="5">
      <t>ジ</t>
    </rPh>
    <rPh sb="6" eb="8">
      <t>イッカツ</t>
    </rPh>
    <rPh sb="8" eb="10">
      <t>ハイトウ</t>
    </rPh>
    <phoneticPr fontId="2"/>
  </si>
  <si>
    <t>特例等、税制に応じて入力</t>
    <rPh sb="0" eb="2">
      <t>トクレイ</t>
    </rPh>
    <rPh sb="2" eb="3">
      <t>トウ</t>
    </rPh>
    <rPh sb="4" eb="6">
      <t>ゼイセイ</t>
    </rPh>
    <rPh sb="7" eb="8">
      <t>オウ</t>
    </rPh>
    <rPh sb="10" eb="12">
      <t>ニュウリョク</t>
    </rPh>
    <phoneticPr fontId="2"/>
  </si>
  <si>
    <t>任意入力（年額合計）①　完工年度のみ</t>
    <rPh sb="0" eb="2">
      <t>ニンイ</t>
    </rPh>
    <rPh sb="2" eb="4">
      <t>ニュウリョク</t>
    </rPh>
    <rPh sb="5" eb="6">
      <t>ネン</t>
    </rPh>
    <rPh sb="6" eb="7">
      <t>ガク</t>
    </rPh>
    <rPh sb="7" eb="9">
      <t>ゴウケイ</t>
    </rPh>
    <rPh sb="12" eb="16">
      <t>カンコウネンド</t>
    </rPh>
    <phoneticPr fontId="2"/>
  </si>
  <si>
    <t>任意入力（年額合計）②　運営期間中</t>
    <rPh sb="0" eb="2">
      <t>ニンイ</t>
    </rPh>
    <rPh sb="2" eb="4">
      <t>ニュウリョク</t>
    </rPh>
    <rPh sb="12" eb="17">
      <t>ウンエイキカンチュウ</t>
    </rPh>
    <phoneticPr fontId="2"/>
  </si>
  <si>
    <t>官民での利払い費用の差</t>
    <rPh sb="0" eb="2">
      <t>カンミン</t>
    </rPh>
    <rPh sb="4" eb="6">
      <t>リバラ</t>
    </rPh>
    <rPh sb="7" eb="9">
      <t>ヒヨウ</t>
    </rPh>
    <rPh sb="10" eb="11">
      <t>サ</t>
    </rPh>
    <phoneticPr fontId="2"/>
  </si>
  <si>
    <t>VFM算定フォーマット（BOT・BOO） - 前提条件・計算</t>
    <rPh sb="3" eb="5">
      <t>サンテイ</t>
    </rPh>
    <rPh sb="23" eb="27">
      <t>ゼンテイジョウケン</t>
    </rPh>
    <rPh sb="28" eb="30">
      <t>ケイサン</t>
    </rPh>
    <phoneticPr fontId="2"/>
  </si>
  <si>
    <t>VFM算定フォーマット（BOT・BOO） - アウトプット</t>
    <rPh sb="3" eb="5">
      <t>サンテイ</t>
    </rPh>
    <phoneticPr fontId="2"/>
  </si>
  <si>
    <t>参考値（計算用）</t>
    <rPh sb="0" eb="2">
      <t>サンコウ</t>
    </rPh>
    <rPh sb="2" eb="3">
      <t>アタイ</t>
    </rPh>
    <rPh sb="4" eb="7">
      <t>ケイサンヨウ</t>
    </rPh>
    <phoneticPr fontId="2"/>
  </si>
  <si>
    <t>BOT/BOO</t>
    <phoneticPr fontId="2"/>
  </si>
  <si>
    <t>減価償却費</t>
    <rPh sb="0" eb="5">
      <t>ゲンカショウキャクヒ</t>
    </rPh>
    <phoneticPr fontId="2"/>
  </si>
  <si>
    <t>施設整備に係る残存簿価</t>
    <rPh sb="0" eb="4">
      <t>シセツセイビ</t>
    </rPh>
    <rPh sb="5" eb="6">
      <t>カカ</t>
    </rPh>
    <rPh sb="7" eb="11">
      <t>ザンゾンボカ</t>
    </rPh>
    <phoneticPr fontId="2"/>
  </si>
  <si>
    <t>施設整備費で自動計算</t>
    <rPh sb="0" eb="5">
      <t>シセツセイビヒ</t>
    </rPh>
    <rPh sb="6" eb="10">
      <t>ジドウケイサン</t>
    </rPh>
    <phoneticPr fontId="2"/>
  </si>
  <si>
    <t>運営初年度</t>
    <rPh sb="0" eb="2">
      <t>ウンエイ</t>
    </rPh>
    <rPh sb="2" eb="5">
      <t>ショネンド</t>
    </rPh>
    <phoneticPr fontId="2"/>
  </si>
  <si>
    <t>VFM算定フォーマット（O） - 前提条件・計算</t>
    <rPh sb="3" eb="5">
      <t>サンテイ</t>
    </rPh>
    <rPh sb="17" eb="21">
      <t>ゼンテイジョウケン</t>
    </rPh>
    <rPh sb="22" eb="24">
      <t>ケイサン</t>
    </rPh>
    <phoneticPr fontId="2"/>
  </si>
  <si>
    <t>VFM算定フォーマット（O） - アウトプット</t>
    <rPh sb="3" eb="5">
      <t>サンテイ</t>
    </rPh>
    <phoneticPr fontId="2"/>
  </si>
  <si>
    <t>O</t>
    <phoneticPr fontId="2"/>
  </si>
  <si>
    <t>※施設整備なし</t>
    <rPh sb="1" eb="3">
      <t>シセツ</t>
    </rPh>
    <rPh sb="3" eb="5">
      <t>セイビ</t>
    </rPh>
    <phoneticPr fontId="2"/>
  </si>
  <si>
    <t>サービス購入費として支払なし</t>
    <rPh sb="4" eb="7">
      <t>コウニュウヒ</t>
    </rPh>
    <rPh sb="10" eb="12">
      <t>シハライ</t>
    </rPh>
    <phoneticPr fontId="2"/>
  </si>
  <si>
    <t>VFM算定フォーマット（BT+コンセッション） - 前提条件・計算</t>
    <rPh sb="3" eb="5">
      <t>サンテイ</t>
    </rPh>
    <rPh sb="26" eb="30">
      <t>ゼンテイジョウケン</t>
    </rPh>
    <rPh sb="31" eb="33">
      <t>ケイサン</t>
    </rPh>
    <phoneticPr fontId="2"/>
  </si>
  <si>
    <t>VFM算定フォーマット（BT+コンセッション） - アウトプット</t>
    <rPh sb="3" eb="5">
      <t>サンテイ</t>
    </rPh>
    <phoneticPr fontId="2"/>
  </si>
  <si>
    <t>SPC IRR</t>
    <phoneticPr fontId="2"/>
  </si>
  <si>
    <t>収支差額</t>
    <rPh sb="0" eb="2">
      <t>シュウシ</t>
    </rPh>
    <rPh sb="2" eb="4">
      <t>サガク</t>
    </rPh>
    <phoneticPr fontId="2"/>
  </si>
  <si>
    <t>SPC（損益計算書）</t>
    <rPh sb="4" eb="9">
      <t>ソンエキケイサンショ</t>
    </rPh>
    <phoneticPr fontId="2"/>
  </si>
  <si>
    <t>BT+コンセッション</t>
    <phoneticPr fontId="2"/>
  </si>
  <si>
    <t>その他収入</t>
    <rPh sb="2" eb="3">
      <t>タ</t>
    </rPh>
    <rPh sb="3" eb="5">
      <t>シュウニュウ</t>
    </rPh>
    <phoneticPr fontId="2"/>
  </si>
  <si>
    <t>追加投資</t>
    <rPh sb="0" eb="2">
      <t>ツイカ</t>
    </rPh>
    <rPh sb="2" eb="4">
      <t>トウシ</t>
    </rPh>
    <phoneticPr fontId="2"/>
  </si>
  <si>
    <t>支払利息
（施設整備費分）</t>
    <rPh sb="0" eb="2">
      <t>シハライ</t>
    </rPh>
    <rPh sb="2" eb="4">
      <t>リソク</t>
    </rPh>
    <rPh sb="6" eb="8">
      <t>シセツ</t>
    </rPh>
    <rPh sb="8" eb="12">
      <t>セイビヒブン</t>
    </rPh>
    <phoneticPr fontId="2"/>
  </si>
  <si>
    <t>支払利息
（その他）</t>
    <rPh sb="0" eb="2">
      <t>シハライ</t>
    </rPh>
    <rPh sb="2" eb="4">
      <t>リソク</t>
    </rPh>
    <rPh sb="8" eb="9">
      <t>タ</t>
    </rPh>
    <phoneticPr fontId="2"/>
  </si>
  <si>
    <t>公租公課</t>
    <rPh sb="0" eb="4">
      <t>コウソコウカ</t>
    </rPh>
    <phoneticPr fontId="2"/>
  </si>
  <si>
    <t>PIRR CF</t>
    <phoneticPr fontId="2"/>
  </si>
  <si>
    <t>減価償却費
更新投資</t>
    <rPh sb="0" eb="5">
      <t>ゲンカショウキャクヒ</t>
    </rPh>
    <rPh sb="6" eb="10">
      <t>コウシントウシ</t>
    </rPh>
    <phoneticPr fontId="2"/>
  </si>
  <si>
    <t>減価償却費
運営権対価</t>
    <rPh sb="0" eb="5">
      <t>ゲンカショウキャクヒ</t>
    </rPh>
    <rPh sb="6" eb="11">
      <t>ウンエイケンタイカ</t>
    </rPh>
    <phoneticPr fontId="2"/>
  </si>
  <si>
    <t>税引前
当期純利益</t>
    <rPh sb="0" eb="3">
      <t>ゼイビキマエ</t>
    </rPh>
    <rPh sb="4" eb="9">
      <t>トウキジュンリエキ</t>
    </rPh>
    <phoneticPr fontId="2"/>
  </si>
  <si>
    <t>追加投資
（簿価）</t>
    <rPh sb="0" eb="2">
      <t>ツイカ</t>
    </rPh>
    <rPh sb="2" eb="4">
      <t>トウシ</t>
    </rPh>
    <rPh sb="6" eb="8">
      <t>ボカ</t>
    </rPh>
    <phoneticPr fontId="2"/>
  </si>
  <si>
    <t>事業期間合計</t>
    <rPh sb="0" eb="4">
      <t>ジギョウキカン</t>
    </rPh>
    <rPh sb="4" eb="6">
      <t>ゴウケイ</t>
    </rPh>
    <phoneticPr fontId="2"/>
  </si>
  <si>
    <t>施設整備費用（運営権対価考慮後）</t>
    <rPh sb="0" eb="2">
      <t>シセツ</t>
    </rPh>
    <rPh sb="2" eb="6">
      <t>セイビヒヨウ</t>
    </rPh>
    <rPh sb="7" eb="12">
      <t>ウンエイケンタイカ</t>
    </rPh>
    <rPh sb="12" eb="15">
      <t>コウリョゴ</t>
    </rPh>
    <phoneticPr fontId="2"/>
  </si>
  <si>
    <t>サービス対価（施設整備費ー運営権対価）の上限額</t>
    <rPh sb="4" eb="6">
      <t>タイカ</t>
    </rPh>
    <rPh sb="7" eb="9">
      <t>シセツ</t>
    </rPh>
    <rPh sb="9" eb="12">
      <t>セイビヒ</t>
    </rPh>
    <rPh sb="13" eb="18">
      <t>ウンエイケンタイカ</t>
    </rPh>
    <rPh sb="20" eb="23">
      <t>ジョウゲンガク</t>
    </rPh>
    <phoneticPr fontId="2"/>
  </si>
  <si>
    <t>サービス対価に含めない</t>
    <rPh sb="4" eb="6">
      <t>タイカ</t>
    </rPh>
    <rPh sb="7" eb="8">
      <t>フク</t>
    </rPh>
    <phoneticPr fontId="2"/>
  </si>
  <si>
    <t>サービス対価に含める</t>
    <rPh sb="4" eb="6">
      <t>タイカ</t>
    </rPh>
    <rPh sb="7" eb="8">
      <t>フク</t>
    </rPh>
    <phoneticPr fontId="2"/>
  </si>
  <si>
    <t>SPC費用　年額</t>
    <rPh sb="3" eb="5">
      <t>ヒヨウ</t>
    </rPh>
    <rPh sb="6" eb="8">
      <t>ネンガク</t>
    </rPh>
    <phoneticPr fontId="2"/>
  </si>
  <si>
    <t>循環を避けるため法人住民税のみ</t>
    <rPh sb="0" eb="2">
      <t>ジュンカン</t>
    </rPh>
    <rPh sb="3" eb="4">
      <t>サ</t>
    </rPh>
    <rPh sb="8" eb="13">
      <t>ホウジンジュウミンゼイ</t>
    </rPh>
    <phoneticPr fontId="2"/>
  </si>
  <si>
    <t>サービス対価（設立時費用）*サービス対価に含める場合</t>
    <rPh sb="4" eb="6">
      <t>タイカ</t>
    </rPh>
    <rPh sb="7" eb="10">
      <t>セツリツジ</t>
    </rPh>
    <rPh sb="10" eb="12">
      <t>ヒヨウ</t>
    </rPh>
    <rPh sb="18" eb="20">
      <t>タイカ</t>
    </rPh>
    <rPh sb="21" eb="22">
      <t>フク</t>
    </rPh>
    <rPh sb="24" eb="26">
      <t>バアイ</t>
    </rPh>
    <phoneticPr fontId="2"/>
  </si>
  <si>
    <t>サービス対価（SPC費用等）年額　*サービス対価に含める場合</t>
    <rPh sb="4" eb="6">
      <t>タイカ</t>
    </rPh>
    <rPh sb="10" eb="12">
      <t>ヒヨウ</t>
    </rPh>
    <rPh sb="12" eb="13">
      <t>トウ</t>
    </rPh>
    <rPh sb="14" eb="16">
      <t>ネンガク</t>
    </rPh>
    <rPh sb="22" eb="24">
      <t>タイカ</t>
    </rPh>
    <phoneticPr fontId="2"/>
  </si>
  <si>
    <t>2.7 追加投資</t>
    <rPh sb="4" eb="8">
      <t>ツイカトウシ</t>
    </rPh>
    <phoneticPr fontId="2"/>
  </si>
  <si>
    <t>追加投資額</t>
    <rPh sb="0" eb="2">
      <t>ツイカ</t>
    </rPh>
    <rPh sb="2" eb="5">
      <t>トウシガク</t>
    </rPh>
    <phoneticPr fontId="2"/>
  </si>
  <si>
    <t>追加投資年度</t>
    <rPh sb="0" eb="2">
      <t>ツイカ</t>
    </rPh>
    <rPh sb="2" eb="6">
      <t>トウシネンド</t>
    </rPh>
    <phoneticPr fontId="2"/>
  </si>
  <si>
    <t>運営●年目</t>
    <rPh sb="0" eb="2">
      <t>ウンエイ</t>
    </rPh>
    <rPh sb="3" eb="5">
      <t>ネンメ</t>
    </rPh>
    <phoneticPr fontId="2"/>
  </si>
  <si>
    <t>減価償却期間</t>
    <rPh sb="0" eb="6">
      <t>ゲンカショウキャクキカン</t>
    </rPh>
    <phoneticPr fontId="2"/>
  </si>
  <si>
    <t>利用料金収入 - 増加前（年額）</t>
    <rPh sb="0" eb="6">
      <t>リヨウリョウキンシュウニュウ</t>
    </rPh>
    <rPh sb="9" eb="11">
      <t>ゾウカ</t>
    </rPh>
    <rPh sb="11" eb="12">
      <t>マエ</t>
    </rPh>
    <rPh sb="13" eb="15">
      <t>ネンガク</t>
    </rPh>
    <phoneticPr fontId="2"/>
  </si>
  <si>
    <t>利用料金増加年度</t>
    <rPh sb="0" eb="4">
      <t>リヨウリョウキン</t>
    </rPh>
    <rPh sb="4" eb="6">
      <t>ゾウカ</t>
    </rPh>
    <rPh sb="6" eb="8">
      <t>ネンド</t>
    </rPh>
    <phoneticPr fontId="2"/>
  </si>
  <si>
    <t>利用料金収入 - 増加後（年額）</t>
    <rPh sb="0" eb="4">
      <t>リヨウリョウキン</t>
    </rPh>
    <rPh sb="4" eb="6">
      <t>シュウニュウ</t>
    </rPh>
    <rPh sb="9" eb="11">
      <t>ゾウカ</t>
    </rPh>
    <rPh sb="11" eb="12">
      <t>アト</t>
    </rPh>
    <rPh sb="13" eb="15">
      <t>ネンガク</t>
    </rPh>
    <phoneticPr fontId="2"/>
  </si>
  <si>
    <t>利用料金収入 - 総額</t>
    <rPh sb="0" eb="4">
      <t>リヨウリョウキン</t>
    </rPh>
    <rPh sb="4" eb="6">
      <t>シュウニュウ</t>
    </rPh>
    <rPh sb="9" eb="11">
      <t>ソウガク</t>
    </rPh>
    <phoneticPr fontId="2"/>
  </si>
  <si>
    <t>3.2 その他収入</t>
    <rPh sb="6" eb="7">
      <t>タ</t>
    </rPh>
    <rPh sb="7" eb="9">
      <t>シュウニュウ</t>
    </rPh>
    <phoneticPr fontId="2"/>
  </si>
  <si>
    <t>3.3 運営権対価</t>
    <rPh sb="4" eb="9">
      <t>ウンエイケンタイカ</t>
    </rPh>
    <phoneticPr fontId="2"/>
  </si>
  <si>
    <t>3.2 運営権対価</t>
    <rPh sb="4" eb="9">
      <t>ウンエイケンタイカ</t>
    </rPh>
    <phoneticPr fontId="2"/>
  </si>
  <si>
    <t>サービス対価（施設整備費＋割賦金利）の上限額から自動算出</t>
    <rPh sb="24" eb="28">
      <t>ジドウサンシュツ</t>
    </rPh>
    <phoneticPr fontId="2"/>
  </si>
  <si>
    <t>運営開始年度の一括支払を前提とする</t>
    <rPh sb="0" eb="4">
      <t>ウンエイカイシ</t>
    </rPh>
    <rPh sb="4" eb="6">
      <t>ネンド</t>
    </rPh>
    <rPh sb="7" eb="9">
      <t>イッカツ</t>
    </rPh>
    <rPh sb="9" eb="11">
      <t>シハラ</t>
    </rPh>
    <rPh sb="12" eb="14">
      <t>ゼンテイ</t>
    </rPh>
    <phoneticPr fontId="2"/>
  </si>
  <si>
    <t>施設整備費</t>
    <rPh sb="0" eb="2">
      <t>シセツ</t>
    </rPh>
    <rPh sb="2" eb="5">
      <t>セイビヒ</t>
    </rPh>
    <phoneticPr fontId="2"/>
  </si>
  <si>
    <t>必要調達額 - 施設整備費割賦分</t>
    <rPh sb="0" eb="2">
      <t>ヒツヨウ</t>
    </rPh>
    <rPh sb="2" eb="4">
      <t>チョウタツ</t>
    </rPh>
    <rPh sb="4" eb="5">
      <t>ガク</t>
    </rPh>
    <rPh sb="8" eb="10">
      <t>シセツ</t>
    </rPh>
    <rPh sb="10" eb="13">
      <t>セイビヒ</t>
    </rPh>
    <rPh sb="13" eb="16">
      <t>カップブン</t>
    </rPh>
    <phoneticPr fontId="2"/>
  </si>
  <si>
    <t>全額借入を前提とする</t>
    <rPh sb="0" eb="2">
      <t>ゼンガク</t>
    </rPh>
    <rPh sb="2" eb="4">
      <t>カリイレ</t>
    </rPh>
    <rPh sb="5" eb="7">
      <t>ゼンテイ</t>
    </rPh>
    <phoneticPr fontId="2"/>
  </si>
  <si>
    <t>借入額 - 施設整備費割賦分</t>
    <rPh sb="0" eb="3">
      <t>カリイレガク</t>
    </rPh>
    <rPh sb="6" eb="8">
      <t>シセツ</t>
    </rPh>
    <rPh sb="8" eb="11">
      <t>セイビヒ</t>
    </rPh>
    <rPh sb="11" eb="14">
      <t>カップブン</t>
    </rPh>
    <phoneticPr fontId="2"/>
  </si>
  <si>
    <t>必要調達額 - 運営権対価</t>
    <rPh sb="0" eb="4">
      <t>ヒツヨウチョウタツ</t>
    </rPh>
    <rPh sb="4" eb="5">
      <t>ガク</t>
    </rPh>
    <rPh sb="8" eb="10">
      <t>ウンエイ</t>
    </rPh>
    <rPh sb="10" eb="11">
      <t>ケン</t>
    </rPh>
    <rPh sb="11" eb="13">
      <t>タイカ</t>
    </rPh>
    <phoneticPr fontId="2"/>
  </si>
  <si>
    <t>D:E比率によって借入額を設定</t>
    <rPh sb="3" eb="5">
      <t>ヒリツ</t>
    </rPh>
    <rPh sb="9" eb="12">
      <t>カリイレガク</t>
    </rPh>
    <rPh sb="13" eb="15">
      <t>セッテイ</t>
    </rPh>
    <phoneticPr fontId="2"/>
  </si>
  <si>
    <t>借入額 - その他</t>
    <rPh sb="0" eb="3">
      <t>カリイレガク</t>
    </rPh>
    <rPh sb="8" eb="9">
      <t>タ</t>
    </rPh>
    <phoneticPr fontId="2"/>
  </si>
  <si>
    <t>必要調達額 - 追加投資</t>
    <rPh sb="0" eb="4">
      <t>ヒツヨウチョウタツ</t>
    </rPh>
    <rPh sb="4" eb="5">
      <t>ガク</t>
    </rPh>
    <rPh sb="8" eb="10">
      <t>ツイカ</t>
    </rPh>
    <rPh sb="10" eb="12">
      <t>トウシ</t>
    </rPh>
    <phoneticPr fontId="2"/>
  </si>
  <si>
    <t>借入額総額</t>
    <rPh sb="0" eb="3">
      <t>カリイレガク</t>
    </rPh>
    <rPh sb="3" eb="5">
      <t>ソウガク</t>
    </rPh>
    <phoneticPr fontId="2"/>
  </si>
  <si>
    <t>必要調達額 - SPC設立費用</t>
    <rPh sb="0" eb="4">
      <t>ヒツヨウチョウタツ</t>
    </rPh>
    <rPh sb="4" eb="5">
      <t>ガク</t>
    </rPh>
    <rPh sb="11" eb="13">
      <t>セツリツ</t>
    </rPh>
    <rPh sb="13" eb="15">
      <t>ヒヨウ</t>
    </rPh>
    <phoneticPr fontId="2"/>
  </si>
  <si>
    <t>必要調達額 - SPC経費（整備期間合計）</t>
    <rPh sb="0" eb="4">
      <t>ヒツヨウチョウタツ</t>
    </rPh>
    <rPh sb="4" eb="5">
      <t>ガク</t>
    </rPh>
    <rPh sb="11" eb="13">
      <t>ケイヒ</t>
    </rPh>
    <rPh sb="14" eb="18">
      <t>セイビキカン</t>
    </rPh>
    <rPh sb="18" eb="20">
      <t>ゴウケイ</t>
    </rPh>
    <phoneticPr fontId="2"/>
  </si>
  <si>
    <t>借入金利（施設整備費割賦分の調達）</t>
    <rPh sb="0" eb="4">
      <t>カリイレキンリ</t>
    </rPh>
    <rPh sb="5" eb="13">
      <t>シセツセイビヒカップブン</t>
    </rPh>
    <rPh sb="14" eb="16">
      <t>チョウタツ</t>
    </rPh>
    <phoneticPr fontId="2"/>
  </si>
  <si>
    <t>必要調達額 - SPC予備費</t>
    <rPh sb="0" eb="4">
      <t>ヒツヨウチョウタツ</t>
    </rPh>
    <rPh sb="4" eb="5">
      <t>ガク</t>
    </rPh>
    <rPh sb="11" eb="14">
      <t>ヨビヒ</t>
    </rPh>
    <phoneticPr fontId="2"/>
  </si>
  <si>
    <t>借入金利（追加投資、運営権対価、その他分の調達）</t>
    <rPh sb="0" eb="4">
      <t>カリイレキンリ</t>
    </rPh>
    <phoneticPr fontId="2"/>
  </si>
  <si>
    <t>必要調達額 - その他</t>
    <rPh sb="0" eb="4">
      <t>ヒツヨウチョウタツ</t>
    </rPh>
    <rPh sb="4" eb="5">
      <t>ガク</t>
    </rPh>
    <rPh sb="10" eb="11">
      <t>タ</t>
    </rPh>
    <phoneticPr fontId="2"/>
  </si>
  <si>
    <t>D:E比率（必要調達額に占める借入の割合）</t>
    <rPh sb="3" eb="5">
      <t>ヒリツ</t>
    </rPh>
    <rPh sb="6" eb="11">
      <t>ヒツヨウチョウタツガク</t>
    </rPh>
    <rPh sb="12" eb="13">
      <t>シ</t>
    </rPh>
    <rPh sb="15" eb="17">
      <t>カリイレ</t>
    </rPh>
    <rPh sb="18" eb="20">
      <t>ワリアイ</t>
    </rPh>
    <phoneticPr fontId="2"/>
  </si>
  <si>
    <t>出資額 - その他</t>
    <rPh sb="0" eb="2">
      <t>シュッシ</t>
    </rPh>
    <rPh sb="2" eb="3">
      <t>ガク</t>
    </rPh>
    <rPh sb="8" eb="9">
      <t>タ</t>
    </rPh>
    <phoneticPr fontId="2"/>
  </si>
  <si>
    <t>スプレッド①（施設整備費割賦分の調達）</t>
    <rPh sb="7" eb="9">
      <t>シセツ</t>
    </rPh>
    <rPh sb="9" eb="15">
      <t>セイビヒカップブン</t>
    </rPh>
    <rPh sb="16" eb="18">
      <t>チョウタツ</t>
    </rPh>
    <phoneticPr fontId="2"/>
  </si>
  <si>
    <t>スプレッド⑵（追加投資、運営権対価、その他分の調達）</t>
    <rPh sb="7" eb="11">
      <t>ツイカトウシ</t>
    </rPh>
    <rPh sb="12" eb="17">
      <t>ウンエイケンタイカ</t>
    </rPh>
    <rPh sb="20" eb="21">
      <t>タ</t>
    </rPh>
    <rPh sb="21" eb="22">
      <t>ブン</t>
    </rPh>
    <rPh sb="23" eb="25">
      <t>チョウタツ</t>
    </rPh>
    <phoneticPr fontId="2"/>
  </si>
  <si>
    <t>フォーマットにて自動算出のため入力不要</t>
    <rPh sb="8" eb="12">
      <t>ジドウサンシュツ</t>
    </rPh>
    <rPh sb="15" eb="19">
      <t>ニュウリョクフヨウ</t>
    </rPh>
    <phoneticPr fontId="2"/>
  </si>
  <si>
    <t>法人住民税均等割</t>
    <rPh sb="0" eb="2">
      <t>ホウジン</t>
    </rPh>
    <rPh sb="2" eb="5">
      <t>ジュウミンゼイ</t>
    </rPh>
    <rPh sb="5" eb="8">
      <t>キントウワ</t>
    </rPh>
    <phoneticPr fontId="2"/>
  </si>
  <si>
    <t>登録免許税（運営権対価登記）</t>
    <rPh sb="0" eb="5">
      <t>トウロクメンキョゼイ</t>
    </rPh>
    <rPh sb="6" eb="11">
      <t>ウンエイケンタイカ</t>
    </rPh>
    <rPh sb="11" eb="13">
      <t>トウキ</t>
    </rPh>
    <phoneticPr fontId="2"/>
  </si>
  <si>
    <t>登録免許税（資本金登記）</t>
    <rPh sb="0" eb="5">
      <t>トウロクメンキョゼイ</t>
    </rPh>
    <rPh sb="6" eb="9">
      <t>シホンキン</t>
    </rPh>
    <rPh sb="9" eb="11">
      <t>トウキ</t>
    </rPh>
    <phoneticPr fontId="2"/>
  </si>
  <si>
    <t>固定資産税率</t>
    <rPh sb="0" eb="4">
      <t>コテイシサン</t>
    </rPh>
    <rPh sb="4" eb="5">
      <t>ゼイ</t>
    </rPh>
    <rPh sb="5" eb="6">
      <t>リツ</t>
    </rPh>
    <phoneticPr fontId="2"/>
  </si>
  <si>
    <t>登録免許税率（運営権対価登記）</t>
    <rPh sb="0" eb="5">
      <t>トウロクメンキョゼイ</t>
    </rPh>
    <rPh sb="5" eb="6">
      <t>リツ</t>
    </rPh>
    <rPh sb="7" eb="12">
      <t>ウンエイケンタイカ</t>
    </rPh>
    <rPh sb="12" eb="14">
      <t>トウキ</t>
    </rPh>
    <phoneticPr fontId="2"/>
  </si>
  <si>
    <t>整備期間初年度のみ</t>
    <rPh sb="0" eb="4">
      <t>セイビキカン</t>
    </rPh>
    <rPh sb="4" eb="7">
      <t>ショネンド</t>
    </rPh>
    <phoneticPr fontId="2"/>
  </si>
  <si>
    <t>登録免許税率（資本金登記）</t>
    <rPh sb="0" eb="5">
      <t>トウロクメンキョゼイ</t>
    </rPh>
    <rPh sb="5" eb="6">
      <t>リツ</t>
    </rPh>
    <rPh sb="7" eb="10">
      <t>シホンキン</t>
    </rPh>
    <rPh sb="10" eb="12">
      <t>トウキ</t>
    </rPh>
    <phoneticPr fontId="2"/>
  </si>
  <si>
    <t>他入力項目から自動算出</t>
    <rPh sb="0" eb="1">
      <t>ホカ</t>
    </rPh>
    <rPh sb="1" eb="5">
      <t>ニュウリョクコウモク</t>
    </rPh>
    <rPh sb="7" eb="11">
      <t>ジドウサンシュツ</t>
    </rPh>
    <phoneticPr fontId="2"/>
  </si>
  <si>
    <t>官民利払い費用の差額</t>
    <rPh sb="0" eb="4">
      <t>カンミンリバラ</t>
    </rPh>
    <rPh sb="5" eb="7">
      <t>ヒヨウ</t>
    </rPh>
    <rPh sb="8" eb="10">
      <t>サガク</t>
    </rPh>
    <phoneticPr fontId="2"/>
  </si>
  <si>
    <t>PSCへのリスク調整額</t>
    <rPh sb="8" eb="10">
      <t>チョウセイ</t>
    </rPh>
    <rPh sb="10" eb="11">
      <t>ガク</t>
    </rPh>
    <phoneticPr fontId="2"/>
  </si>
  <si>
    <t>BTO（RO）</t>
    <phoneticPr fontId="2"/>
  </si>
  <si>
    <t>法人税率：実効税率（法人税率見合い）</t>
    <rPh sb="0" eb="4">
      <t>ホウジンゼイリツ</t>
    </rPh>
    <rPh sb="5" eb="9">
      <t>ジッコウゼイリツ</t>
    </rPh>
    <rPh sb="10" eb="13">
      <t>ホウジンゼイ</t>
    </rPh>
    <rPh sb="13" eb="14">
      <t>リツ</t>
    </rPh>
    <rPh sb="14" eb="16">
      <t>ミア</t>
    </rPh>
    <phoneticPr fontId="2"/>
  </si>
  <si>
    <t>税率：実効税率（事業税率見合い）</t>
    <rPh sb="0" eb="2">
      <t>ゼイリツ</t>
    </rPh>
    <rPh sb="3" eb="7">
      <t>ジッコウゼイリツ</t>
    </rPh>
    <rPh sb="8" eb="12">
      <t>ジギョウゼイリツ</t>
    </rPh>
    <rPh sb="12" eb="14">
      <t>ミア</t>
    </rPh>
    <phoneticPr fontId="2"/>
  </si>
  <si>
    <t>税率：実効税率（住民税率見合い）</t>
    <rPh sb="0" eb="2">
      <t>ゼイリツ</t>
    </rPh>
    <rPh sb="3" eb="7">
      <t>ジッコウゼイリツ</t>
    </rPh>
    <rPh sb="8" eb="10">
      <t>ジュウミン</t>
    </rPh>
    <rPh sb="10" eb="12">
      <t>ゼイリツ</t>
    </rPh>
    <rPh sb="12" eb="14">
      <t>ミア</t>
    </rPh>
    <phoneticPr fontId="2"/>
  </si>
  <si>
    <t>発注者が道府県の場合、入力</t>
    <rPh sb="0" eb="3">
      <t>ハッチュウシャ</t>
    </rPh>
    <rPh sb="4" eb="7">
      <t>ドウフケン</t>
    </rPh>
    <rPh sb="8" eb="10">
      <t>バアイ</t>
    </rPh>
    <rPh sb="11" eb="13">
      <t>ニュウリョク</t>
    </rPh>
    <phoneticPr fontId="2"/>
  </si>
  <si>
    <t>追加投資（BT＋コンセッションのみ）</t>
    <rPh sb="0" eb="2">
      <t>ツイカ</t>
    </rPh>
    <rPh sb="2" eb="4">
      <t>トウシ</t>
    </rPh>
    <phoneticPr fontId="2"/>
  </si>
  <si>
    <t>その他収入（BT＋コンセッションのみ）</t>
    <rPh sb="2" eb="3">
      <t>タ</t>
    </rPh>
    <rPh sb="3" eb="5">
      <t>シュウニュウ</t>
    </rPh>
    <phoneticPr fontId="2"/>
  </si>
  <si>
    <t>EIRR（BT＋コンセッションのみ）</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</si>
</sst>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_);[Red]\(#,##0\);\-_)"/>
    <numFmt numFmtId="177" formatCode="0.0%"/>
    <numFmt numFmtId="178" formatCode="#,##0.0_);[Red]\(#,##0.0\);\-_)"/>
    <numFmt numFmtId="179" formatCode="0.000%"/>
    <numFmt numFmtId="180" formatCode="#,##0.0;[Red]\-#,##0.0"/>
    <numFmt numFmtId="181" formatCode="#,##0.0"/>
    <numFmt numFmtId="182" formatCode="#,##0.0_ "/>
    <numFmt numFmtId="183" formatCode="[Magenta]&quot;Warning&quot;;[Magenta]&quot;Warning&quot;;[Blue]&quot;OK&quot;"/>
    <numFmt numFmtId="184" formatCode="0.0000"/>
    <numFmt numFmtId="185" formatCode="#,##0.00_);[Red]\(#,##0.00\);\-_)"/>
    <numFmt numFmtId="186" formatCode="#,##0.0;&quot;▲ &quot;#,##0.0"/>
    <numFmt numFmtId="187" formatCode="0.0;&quot;▲ &quot;0.0"/>
    <numFmt numFmtId="188" formatCode="#,##0;&quot;▲ &quot;#,##0"/>
    <numFmt numFmtId="189" formatCode="#,##0_);\(#,##0\);\-_)"/>
    <numFmt numFmtId="190" formatCode="#,##0_ "/>
    <numFmt numFmtId="191" formatCode="0.000"/>
    <numFmt numFmtId="192" formatCode="#,##0.000_ "/>
    <numFmt numFmtId="193" formatCode="0;&quot;▲ &quot;0"/>
  </numFmts>
  <fonts count="7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rgb="FF0000FF"/>
      <name val="Arial"/>
      <family val="2"/>
    </font>
    <font>
      <sz val="10"/>
      <color indexed="12"/>
      <name val="Arial"/>
      <family val="2"/>
    </font>
    <font>
      <b/>
      <sz val="11"/>
      <color theme="1"/>
      <name val="游ゴシック"/>
      <family val="3"/>
      <charset val="128"/>
      <scheme val="minor"/>
    </font>
    <font>
      <sz val="10"/>
      <color theme="1"/>
      <name val="Arial"/>
      <family val="2"/>
    </font>
    <font>
      <sz val="9"/>
      <color theme="1"/>
      <name val="Calibri"/>
      <family val="2"/>
    </font>
    <font>
      <b/>
      <sz val="8"/>
      <color indexed="12"/>
      <name val="Arial"/>
      <family val="2"/>
    </font>
    <font>
      <b/>
      <sz val="10"/>
      <color theme="1"/>
      <name val="游ゴシック"/>
      <family val="3"/>
      <charset val="128"/>
      <scheme val="minor"/>
    </font>
    <font>
      <sz val="10"/>
      <color theme="1"/>
      <name val="游ゴシック"/>
      <family val="3"/>
      <charset val="128"/>
      <scheme val="minor"/>
    </font>
    <font>
      <sz val="10"/>
      <color rgb="FFFF0000"/>
      <name val="游ゴシック"/>
      <family val="3"/>
      <charset val="128"/>
      <scheme val="minor"/>
    </font>
    <font>
      <b/>
      <sz val="15"/>
      <color theme="3"/>
      <name val="游ゴシック"/>
      <family val="2"/>
      <charset val="128"/>
      <scheme val="minor"/>
    </font>
    <font>
      <sz val="9"/>
      <color theme="1"/>
      <name val="Yu Gothic UI"/>
      <family val="3"/>
      <charset val="128"/>
    </font>
    <font>
      <sz val="11"/>
      <name val="Yu Gothic UI"/>
      <family val="3"/>
      <charset val="128"/>
    </font>
    <font>
      <sz val="9"/>
      <color indexed="12"/>
      <name val="Arial"/>
      <family val="2"/>
    </font>
    <font>
      <sz val="10"/>
      <color theme="1"/>
      <name val="Yu Gothic UI"/>
      <family val="3"/>
      <charset val="128"/>
    </font>
    <font>
      <sz val="11"/>
      <color theme="1"/>
      <name val="Yu Gothic UI"/>
      <family val="3"/>
      <charset val="128"/>
    </font>
    <font>
      <b/>
      <sz val="11"/>
      <color theme="0"/>
      <name val="Yu Gothic UI"/>
      <family val="3"/>
      <charset val="128"/>
    </font>
    <font>
      <b/>
      <sz val="11"/>
      <color theme="1"/>
      <name val="Yu Gothic UI"/>
      <family val="3"/>
      <charset val="128"/>
    </font>
    <font>
      <b/>
      <sz val="11"/>
      <color indexed="12"/>
      <name val="Yu Gothic UI"/>
      <family val="3"/>
      <charset val="128"/>
    </font>
    <font>
      <b/>
      <sz val="8"/>
      <color indexed="12"/>
      <name val="Yu Gothic UI"/>
      <family val="3"/>
      <charset val="128"/>
    </font>
    <font>
      <sz val="11"/>
      <color rgb="FFFF0000"/>
      <name val="Yu Gothic UI"/>
      <family val="3"/>
      <charset val="128"/>
    </font>
    <font>
      <b/>
      <sz val="11"/>
      <color rgb="FF0070C0"/>
      <name val="Yu Gothic UI"/>
      <family val="3"/>
      <charset val="128"/>
    </font>
    <font>
      <b/>
      <sz val="12"/>
      <color theme="0"/>
      <name val="Yu Gothic UI"/>
      <family val="3"/>
      <charset val="128"/>
    </font>
    <font>
      <b/>
      <i/>
      <sz val="8"/>
      <color theme="0"/>
      <name val="Yu Gothic UI"/>
      <family val="3"/>
      <charset val="128"/>
    </font>
    <font>
      <sz val="11"/>
      <color rgb="FF0000FF"/>
      <name val="Yu Gothic UI"/>
      <family val="3"/>
      <charset val="128"/>
    </font>
    <font>
      <sz val="11"/>
      <color rgb="FF7030A0"/>
      <name val="Yu Gothic UI"/>
      <family val="3"/>
      <charset val="128"/>
    </font>
    <font>
      <sz val="10"/>
      <color rgb="FFFF0000"/>
      <name val="Yu Gothic UI"/>
      <family val="3"/>
      <charset val="128"/>
    </font>
    <font>
      <sz val="12"/>
      <color theme="0"/>
      <name val="Yu Gothic UI"/>
      <family val="3"/>
      <charset val="128"/>
    </font>
    <font>
      <i/>
      <sz val="9"/>
      <color theme="1"/>
      <name val="Yu Gothic UI"/>
      <family val="3"/>
      <charset val="128"/>
    </font>
    <font>
      <b/>
      <i/>
      <sz val="9"/>
      <color theme="1"/>
      <name val="Yu Gothic UI"/>
      <family val="3"/>
      <charset val="128"/>
    </font>
    <font>
      <b/>
      <i/>
      <sz val="9"/>
      <color theme="0"/>
      <name val="Yu Gothic UI"/>
      <family val="3"/>
      <charset val="128"/>
    </font>
    <font>
      <b/>
      <i/>
      <sz val="9"/>
      <color rgb="FF3333FF"/>
      <name val="Yu Gothic UI"/>
      <family val="3"/>
      <charset val="128"/>
    </font>
    <font>
      <b/>
      <sz val="12"/>
      <color theme="1"/>
      <name val="Yu Gothic UI"/>
      <family val="3"/>
      <charset val="128"/>
    </font>
    <font>
      <u/>
      <sz val="11"/>
      <color theme="1"/>
      <name val="Yu Gothic UI"/>
      <family val="3"/>
      <charset val="128"/>
    </font>
    <font>
      <b/>
      <sz val="14"/>
      <color theme="1"/>
      <name val="Yu Gothic UI"/>
      <family val="3"/>
      <charset val="128"/>
    </font>
    <font>
      <b/>
      <sz val="14"/>
      <color theme="0"/>
      <name val="Yu Gothic UI"/>
      <family val="3"/>
      <charset val="128"/>
    </font>
    <font>
      <b/>
      <sz val="14"/>
      <color rgb="FFFF0000"/>
      <name val="Yu Gothic UI"/>
      <family val="3"/>
      <charset val="128"/>
    </font>
    <font>
      <b/>
      <sz val="14"/>
      <name val="Yu Gothic UI"/>
      <family val="3"/>
      <charset val="128"/>
    </font>
    <font>
      <b/>
      <i/>
      <sz val="14"/>
      <color theme="0"/>
      <name val="Yu Gothic UI"/>
      <family val="3"/>
      <charset val="128"/>
    </font>
    <font>
      <sz val="14"/>
      <color theme="1"/>
      <name val="Yu Gothic UI"/>
      <family val="3"/>
      <charset val="128"/>
    </font>
    <font>
      <b/>
      <sz val="12"/>
      <color theme="4" tint="-0.499984740745262"/>
      <name val="Yu Gothic UI"/>
      <family val="3"/>
      <charset val="128"/>
    </font>
    <font>
      <b/>
      <sz val="11"/>
      <color theme="4" tint="-0.499984740745262"/>
      <name val="Yu Gothic UI"/>
      <family val="3"/>
      <charset val="128"/>
    </font>
    <font>
      <sz val="11"/>
      <color theme="4" tint="-0.499984740745262"/>
      <name val="Yu Gothic UI"/>
      <family val="3"/>
      <charset val="128"/>
    </font>
    <font>
      <b/>
      <sz val="9"/>
      <color theme="1"/>
      <name val="Yu Gothic UI"/>
      <family val="3"/>
      <charset val="128"/>
    </font>
    <font>
      <i/>
      <sz val="11"/>
      <color theme="1"/>
      <name val="Yu Gothic UI"/>
      <family val="3"/>
      <charset val="128"/>
    </font>
    <font>
      <b/>
      <sz val="11"/>
      <name val="Yu Gothic UI"/>
      <family val="3"/>
      <charset val="128"/>
    </font>
    <font>
      <b/>
      <sz val="18"/>
      <color theme="1"/>
      <name val="Yu Gothic UI"/>
      <family val="3"/>
      <charset val="128"/>
    </font>
    <font>
      <b/>
      <sz val="10"/>
      <color rgb="FFFF0000"/>
      <name val="游ゴシック"/>
      <family val="3"/>
      <charset val="128"/>
      <scheme val="minor"/>
    </font>
    <font>
      <sz val="11"/>
      <color rgb="FF3333FF"/>
      <name val="Yu Gothic UI"/>
      <family val="3"/>
      <charset val="128"/>
    </font>
    <font>
      <b/>
      <sz val="10"/>
      <color rgb="FFFF0000"/>
      <name val="Yu Gothic UI"/>
      <family val="3"/>
      <charset val="128"/>
    </font>
    <font>
      <b/>
      <i/>
      <sz val="11"/>
      <color theme="1"/>
      <name val="Yu Gothic UI"/>
      <family val="3"/>
      <charset val="128"/>
    </font>
    <font>
      <b/>
      <i/>
      <sz val="12"/>
      <color theme="0"/>
      <name val="Yu Gothic UI"/>
      <family val="3"/>
      <charset val="128"/>
    </font>
    <font>
      <b/>
      <i/>
      <sz val="11"/>
      <color theme="0"/>
      <name val="Yu Gothic UI"/>
      <family val="3"/>
      <charset val="128"/>
    </font>
    <font>
      <b/>
      <i/>
      <sz val="11"/>
      <color rgb="FF3333FF"/>
      <name val="Yu Gothic UI"/>
      <family val="3"/>
      <charset val="128"/>
    </font>
    <font>
      <sz val="11"/>
      <color theme="1"/>
      <name val="Calibri"/>
      <family val="2"/>
    </font>
    <font>
      <b/>
      <sz val="9"/>
      <color theme="1"/>
      <name val="Calibri"/>
      <family val="2"/>
    </font>
    <font>
      <b/>
      <sz val="11"/>
      <color theme="1"/>
      <name val="Calibri"/>
      <family val="2"/>
    </font>
    <font>
      <sz val="12"/>
      <color theme="1"/>
      <name val="Yu Gothic UI"/>
      <family val="3"/>
      <charset val="128"/>
    </font>
    <font>
      <b/>
      <sz val="20"/>
      <color theme="0"/>
      <name val="Yu Gothic UI"/>
      <family val="3"/>
      <charset val="128"/>
    </font>
    <font>
      <b/>
      <sz val="20"/>
      <color theme="1"/>
      <name val="Yu Gothic UI"/>
      <family val="3"/>
      <charset val="128"/>
    </font>
    <font>
      <b/>
      <sz val="12"/>
      <color theme="1"/>
      <name val="Calibri"/>
      <family val="2"/>
    </font>
    <font>
      <b/>
      <sz val="14"/>
      <color rgb="FF0000FF"/>
      <name val="Yu Gothic UI"/>
      <family val="3"/>
      <charset val="128"/>
    </font>
    <font>
      <sz val="14"/>
      <color theme="1"/>
      <name val="Calibri"/>
      <family val="2"/>
    </font>
    <font>
      <sz val="14"/>
      <name val="Calibri"/>
      <family val="2"/>
    </font>
    <font>
      <sz val="14"/>
      <name val="Yu Gothic UI"/>
      <family val="3"/>
      <charset val="128"/>
    </font>
    <font>
      <b/>
      <sz val="14"/>
      <color theme="1"/>
      <name val="Calibri"/>
      <family val="2"/>
    </font>
    <font>
      <b/>
      <sz val="14"/>
      <color theme="4" tint="-0.499984740745262"/>
      <name val="Yu Gothic UI"/>
      <family val="3"/>
      <charset val="128"/>
    </font>
    <font>
      <sz val="14"/>
      <color theme="4" tint="-0.499984740745262"/>
      <name val="Yu Gothic UI"/>
      <family val="3"/>
      <charset val="128"/>
    </font>
  </fonts>
  <fills count="17">
    <fill>
      <patternFill patternType="none"/>
    </fill>
    <fill>
      <patternFill patternType="gray125"/>
    </fill>
    <fill>
      <patternFill patternType="solid">
        <fgColor rgb="FFFFFF99"/>
        <bgColor indexed="64"/>
      </patternFill>
    </fill>
    <fill>
      <patternFill patternType="solid">
        <fgColor indexed="43"/>
      </patternFill>
    </fill>
    <fill>
      <patternFill patternType="solid">
        <fgColor theme="9"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1"/>
        <bgColor indexed="64"/>
      </patternFill>
    </fill>
    <fill>
      <patternFill patternType="solid">
        <fgColor theme="4" tint="-0.499984740745262"/>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59999389629810485"/>
        <bgColor indexed="64"/>
      </patternFill>
    </fill>
  </fills>
  <borders count="58">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bottom style="hair">
        <color auto="1"/>
      </bottom>
      <diagonal/>
    </border>
    <border>
      <left/>
      <right/>
      <top style="hair">
        <color auto="1"/>
      </top>
      <bottom style="hair">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hair">
        <color indexed="64"/>
      </right>
      <top/>
      <bottom style="hair">
        <color indexed="64"/>
      </bottom>
      <diagonal style="hair">
        <color indexed="64"/>
      </diagonal>
    </border>
    <border>
      <left style="hair">
        <color auto="1"/>
      </left>
      <right/>
      <top/>
      <bottom style="hair">
        <color auto="1"/>
      </bottom>
      <diagonal/>
    </border>
    <border>
      <left style="hair">
        <color auto="1"/>
      </left>
      <right/>
      <top/>
      <bottom/>
      <diagonal/>
    </border>
    <border>
      <left style="hair">
        <color auto="1"/>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indexed="64"/>
      </left>
      <right style="medium">
        <color indexed="64"/>
      </right>
      <top style="medium">
        <color indexed="64"/>
      </top>
      <bottom style="medium">
        <color indexed="64"/>
      </bottom>
      <diagonal/>
    </border>
    <border diagonalUp="1">
      <left/>
      <right/>
      <top style="hair">
        <color auto="1"/>
      </top>
      <bottom style="hair">
        <color auto="1"/>
      </bottom>
      <diagonal style="hair">
        <color auto="1"/>
      </diagonal>
    </border>
    <border diagonalUp="1">
      <left style="hair">
        <color auto="1"/>
      </left>
      <right/>
      <top style="hair">
        <color auto="1"/>
      </top>
      <bottom style="hair">
        <color auto="1"/>
      </bottom>
      <diagonal style="hair">
        <color auto="1"/>
      </diagonal>
    </border>
    <border diagonalUp="1">
      <left/>
      <right style="hair">
        <color auto="1"/>
      </right>
      <top style="hair">
        <color auto="1"/>
      </top>
      <bottom style="hair">
        <color auto="1"/>
      </bottom>
      <diagonal style="hair">
        <color auto="1"/>
      </diagonal>
    </border>
    <border diagonalUp="1">
      <left style="hair">
        <color indexed="64"/>
      </left>
      <right style="hair">
        <color indexed="64"/>
      </right>
      <top style="hair">
        <color indexed="64"/>
      </top>
      <bottom/>
      <diagonal style="hair">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diagonalUp="1">
      <left style="hair">
        <color indexed="64"/>
      </left>
      <right style="hair">
        <color indexed="64"/>
      </right>
      <top style="medium">
        <color indexed="64"/>
      </top>
      <bottom style="medium">
        <color indexed="64"/>
      </bottom>
      <diagonal style="hair">
        <color indexed="64"/>
      </diagonal>
    </border>
    <border diagonalUp="1">
      <left style="hair">
        <color indexed="64"/>
      </left>
      <right style="hair">
        <color indexed="64"/>
      </right>
      <top/>
      <bottom/>
      <diagonal style="hair">
        <color indexed="64"/>
      </diagonal>
    </border>
    <border>
      <left style="hair">
        <color auto="1"/>
      </left>
      <right style="hair">
        <color auto="1"/>
      </right>
      <top style="medium">
        <color indexed="64"/>
      </top>
      <bottom style="hair">
        <color auto="1"/>
      </bottom>
      <diagonal/>
    </border>
    <border>
      <left style="hair">
        <color auto="1"/>
      </left>
      <right style="hair">
        <color auto="1"/>
      </right>
      <top style="hair">
        <color auto="1"/>
      </top>
      <bottom style="medium">
        <color indexed="64"/>
      </bottom>
      <diagonal/>
    </border>
    <border diagonalUp="1">
      <left style="hair">
        <color indexed="64"/>
      </left>
      <right/>
      <top/>
      <bottom/>
      <diagonal style="hair">
        <color indexed="64"/>
      </diagonal>
    </border>
    <border>
      <left/>
      <right/>
      <top style="double">
        <color auto="1"/>
      </top>
      <bottom/>
      <diagonal/>
    </border>
    <border>
      <left style="hair">
        <color indexed="64"/>
      </left>
      <right style="hair">
        <color indexed="64"/>
      </right>
      <top style="double">
        <color auto="1"/>
      </top>
      <bottom style="hair">
        <color indexed="64"/>
      </bottom>
      <diagonal/>
    </border>
    <border>
      <left/>
      <right/>
      <top/>
      <bottom style="thick">
        <color theme="4"/>
      </bottom>
      <diagonal/>
    </border>
    <border>
      <left/>
      <right/>
      <top/>
      <bottom style="medium">
        <color theme="9"/>
      </bottom>
      <diagonal/>
    </border>
    <border>
      <left/>
      <right/>
      <top style="thin">
        <color auto="1"/>
      </top>
      <bottom/>
      <diagonal/>
    </border>
    <border>
      <left style="thin">
        <color theme="3"/>
      </left>
      <right/>
      <top/>
      <bottom/>
      <diagonal/>
    </border>
    <border>
      <left style="thin">
        <color theme="3"/>
      </left>
      <right/>
      <top/>
      <bottom style="medium">
        <color theme="9"/>
      </bottom>
      <diagonal/>
    </border>
    <border>
      <left style="thin">
        <color theme="3"/>
      </left>
      <right/>
      <top/>
      <bottom style="thick">
        <color theme="4"/>
      </bottom>
      <diagonal/>
    </border>
    <border>
      <left style="hair">
        <color indexed="64"/>
      </left>
      <right style="hair">
        <color indexed="64"/>
      </right>
      <top style="thin">
        <color indexed="64"/>
      </top>
      <bottom style="hair">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hair">
        <color indexed="64"/>
      </right>
      <top style="thin">
        <color indexed="64"/>
      </top>
      <bottom/>
      <diagonal/>
    </border>
    <border diagonalUp="1">
      <left style="hair">
        <color indexed="64"/>
      </left>
      <right style="hair">
        <color indexed="64"/>
      </right>
      <top style="thin">
        <color indexed="64"/>
      </top>
      <bottom style="hair">
        <color indexed="64"/>
      </bottom>
      <diagonal style="hair">
        <color indexed="64"/>
      </diagonal>
    </border>
    <border>
      <left/>
      <right style="thin">
        <color auto="1"/>
      </right>
      <top/>
      <bottom/>
      <diagonal/>
    </border>
  </borders>
  <cellStyleXfs count="7">
    <xf numFmtId="0" fontId="0" fillId="0" borderId="0">
      <alignment vertical="center"/>
    </xf>
    <xf numFmtId="9" fontId="1" fillId="0" borderId="0" applyFont="0" applyFill="0" applyBorder="0" applyAlignment="0" applyProtection="0">
      <alignment vertical="center"/>
    </xf>
    <xf numFmtId="176" fontId="4" fillId="3" borderId="2" applyAlignment="0">
      <protection locked="0"/>
    </xf>
    <xf numFmtId="38" fontId="1" fillId="0" borderId="0" applyFont="0" applyFill="0" applyBorder="0" applyAlignment="0" applyProtection="0">
      <alignment vertical="center"/>
    </xf>
    <xf numFmtId="183" fontId="8" fillId="0" borderId="0" applyFill="0" applyBorder="0"/>
    <xf numFmtId="0" fontId="12" fillId="0" borderId="44" applyNumberFormat="0" applyFill="0" applyAlignment="0" applyProtection="0">
      <alignment vertical="center"/>
    </xf>
    <xf numFmtId="189" fontId="15" fillId="0" borderId="0" applyFill="0" applyBorder="0" applyAlignment="0" applyProtection="0"/>
  </cellStyleXfs>
  <cellXfs count="513">
    <xf numFmtId="0" fontId="0" fillId="0" borderId="0" xfId="0">
      <alignment vertical="center"/>
    </xf>
    <xf numFmtId="177" fontId="3" fillId="2" borderId="2" xfId="1" applyNumberFormat="1" applyFont="1" applyFill="1" applyBorder="1" applyAlignment="1"/>
    <xf numFmtId="0" fontId="7" fillId="0" borderId="0" xfId="0" applyFont="1">
      <alignment vertical="center"/>
    </xf>
    <xf numFmtId="0" fontId="6" fillId="0" borderId="0" xfId="0" applyFont="1">
      <alignment vertical="center"/>
    </xf>
    <xf numFmtId="0" fontId="10" fillId="0" borderId="0" xfId="0" applyFont="1">
      <alignment vertical="center"/>
    </xf>
    <xf numFmtId="0" fontId="9" fillId="0" borderId="0" xfId="0" applyFont="1" applyAlignment="1">
      <alignment horizontal="center" vertical="center"/>
    </xf>
    <xf numFmtId="0" fontId="10" fillId="0" borderId="0" xfId="0" applyFont="1" applyAlignment="1">
      <alignment horizontal="center" vertical="center"/>
    </xf>
    <xf numFmtId="177" fontId="6" fillId="0" borderId="0" xfId="0" applyNumberFormat="1" applyFont="1">
      <alignment vertical="center"/>
    </xf>
    <xf numFmtId="0" fontId="10" fillId="0" borderId="0" xfId="0" applyFont="1" applyAlignment="1">
      <alignment horizontal="right" vertical="center"/>
    </xf>
    <xf numFmtId="0" fontId="5" fillId="13" borderId="0" xfId="0" applyFont="1" applyFill="1">
      <alignment vertical="center"/>
    </xf>
    <xf numFmtId="180" fontId="6" fillId="0" borderId="2" xfId="3" applyNumberFormat="1" applyFont="1" applyBorder="1">
      <alignment vertical="center"/>
    </xf>
    <xf numFmtId="180" fontId="3" fillId="3" borderId="2" xfId="3" applyNumberFormat="1" applyFont="1" applyFill="1" applyBorder="1" applyAlignment="1" applyProtection="1">
      <protection locked="0"/>
    </xf>
    <xf numFmtId="180" fontId="3" fillId="3" borderId="2" xfId="2" applyNumberFormat="1" applyFont="1">
      <protection locked="0"/>
    </xf>
    <xf numFmtId="180" fontId="6" fillId="0" borderId="2" xfId="0" applyNumberFormat="1" applyFont="1" applyBorder="1">
      <alignment vertical="center"/>
    </xf>
    <xf numFmtId="177" fontId="6" fillId="0" borderId="2" xfId="1" applyNumberFormat="1" applyFont="1" applyBorder="1">
      <alignment vertical="center"/>
    </xf>
    <xf numFmtId="0" fontId="10" fillId="0" borderId="0" xfId="0" applyFont="1" applyAlignment="1">
      <alignment horizontal="left" vertical="center"/>
    </xf>
    <xf numFmtId="0" fontId="11" fillId="0" borderId="0" xfId="0" applyFont="1">
      <alignment vertical="center"/>
    </xf>
    <xf numFmtId="180" fontId="3" fillId="3" borderId="29" xfId="2" applyNumberFormat="1" applyFont="1" applyBorder="1">
      <protection locked="0"/>
    </xf>
    <xf numFmtId="0" fontId="10" fillId="0" borderId="42" xfId="0" applyFont="1" applyBorder="1">
      <alignment vertical="center"/>
    </xf>
    <xf numFmtId="180" fontId="6" fillId="0" borderId="43" xfId="3" applyNumberFormat="1" applyFont="1" applyBorder="1">
      <alignment vertical="center"/>
    </xf>
    <xf numFmtId="0" fontId="13" fillId="0" borderId="0" xfId="0" applyFont="1">
      <alignment vertical="center"/>
    </xf>
    <xf numFmtId="0" fontId="17" fillId="0" borderId="0" xfId="0" applyFont="1">
      <alignment vertical="center"/>
    </xf>
    <xf numFmtId="0" fontId="17" fillId="0" borderId="0" xfId="0" applyFont="1" applyAlignment="1">
      <alignment horizontal="center" vertical="center"/>
    </xf>
    <xf numFmtId="0" fontId="17" fillId="0" borderId="0" xfId="0" applyFont="1" applyAlignment="1">
      <alignment vertical="center" wrapText="1"/>
    </xf>
    <xf numFmtId="0" fontId="17" fillId="0" borderId="0" xfId="0" applyFont="1" applyAlignment="1">
      <alignment horizontal="center" vertical="center" wrapText="1"/>
    </xf>
    <xf numFmtId="180" fontId="17" fillId="0" borderId="0" xfId="3" applyNumberFormat="1" applyFont="1" applyAlignment="1">
      <alignment horizontal="center" vertical="center" wrapText="1"/>
    </xf>
    <xf numFmtId="180" fontId="17" fillId="0" borderId="0" xfId="3" applyNumberFormat="1" applyFont="1" applyAlignment="1">
      <alignment horizontal="center" vertical="center"/>
    </xf>
    <xf numFmtId="0" fontId="18" fillId="10" borderId="0" xfId="0" applyFont="1" applyFill="1">
      <alignment vertical="center"/>
    </xf>
    <xf numFmtId="0" fontId="19" fillId="9" borderId="0" xfId="0" applyFont="1" applyFill="1">
      <alignment vertical="center"/>
    </xf>
    <xf numFmtId="0" fontId="19" fillId="8" borderId="0" xfId="0" applyFont="1" applyFill="1">
      <alignment vertical="center"/>
    </xf>
    <xf numFmtId="0" fontId="19" fillId="8" borderId="0" xfId="0" applyFont="1" applyFill="1" applyAlignment="1">
      <alignment vertical="center" wrapText="1"/>
    </xf>
    <xf numFmtId="0" fontId="19" fillId="8" borderId="0" xfId="0" applyFont="1" applyFill="1" applyAlignment="1">
      <alignment horizontal="center" vertical="center" wrapText="1"/>
    </xf>
    <xf numFmtId="180" fontId="19" fillId="8" borderId="0" xfId="3" applyNumberFormat="1" applyFont="1" applyFill="1" applyAlignment="1">
      <alignment horizontal="center" vertical="center" wrapText="1"/>
    </xf>
    <xf numFmtId="180" fontId="19" fillId="8" borderId="0" xfId="3" applyNumberFormat="1" applyFont="1" applyFill="1" applyAlignment="1">
      <alignment horizontal="center" vertical="center"/>
    </xf>
    <xf numFmtId="0" fontId="19" fillId="8" borderId="0" xfId="0" applyFont="1" applyFill="1" applyAlignment="1">
      <alignment horizontal="center" vertical="center"/>
    </xf>
    <xf numFmtId="0" fontId="19" fillId="0" borderId="0" xfId="0" applyFont="1">
      <alignment vertical="center"/>
    </xf>
    <xf numFmtId="0" fontId="18" fillId="0" borderId="0" xfId="0" applyFont="1">
      <alignment vertical="center"/>
    </xf>
    <xf numFmtId="0" fontId="19" fillId="0" borderId="0" xfId="0" applyFont="1" applyAlignment="1">
      <alignment horizontal="center" vertical="center"/>
    </xf>
    <xf numFmtId="0" fontId="19" fillId="0" borderId="0" xfId="0" applyFont="1" applyAlignment="1">
      <alignment vertical="center" wrapText="1"/>
    </xf>
    <xf numFmtId="0" fontId="19" fillId="0" borderId="0" xfId="0" applyFont="1" applyAlignment="1">
      <alignment horizontal="center" vertical="center" wrapText="1"/>
    </xf>
    <xf numFmtId="180" fontId="19" fillId="0" borderId="0" xfId="3" applyNumberFormat="1" applyFont="1" applyFill="1" applyAlignment="1">
      <alignment horizontal="center" vertical="center" wrapText="1"/>
    </xf>
    <xf numFmtId="180" fontId="19" fillId="0" borderId="0" xfId="3" applyNumberFormat="1" applyFont="1" applyFill="1" applyAlignment="1">
      <alignment horizontal="center" vertical="center"/>
    </xf>
    <xf numFmtId="0" fontId="19" fillId="5" borderId="10" xfId="0" applyFont="1" applyFill="1" applyBorder="1" applyAlignment="1">
      <alignment horizontal="left" vertical="center" indent="18"/>
    </xf>
    <xf numFmtId="0" fontId="19" fillId="5" borderId="10" xfId="0" applyFont="1" applyFill="1" applyBorder="1" applyAlignment="1">
      <alignment horizontal="center" vertical="center"/>
    </xf>
    <xf numFmtId="0" fontId="19" fillId="5" borderId="10" xfId="0" applyFont="1" applyFill="1" applyBorder="1" applyAlignment="1">
      <alignment horizontal="center" vertical="center" wrapText="1"/>
    </xf>
    <xf numFmtId="0" fontId="19" fillId="7" borderId="0" xfId="0" applyFont="1" applyFill="1" applyAlignment="1">
      <alignment horizontal="center" vertical="center" wrapText="1"/>
    </xf>
    <xf numFmtId="0" fontId="19" fillId="5" borderId="11" xfId="0" applyFont="1" applyFill="1" applyBorder="1" applyAlignment="1">
      <alignment horizontal="center" vertical="center"/>
    </xf>
    <xf numFmtId="0" fontId="19" fillId="5" borderId="13" xfId="0" applyFont="1" applyFill="1" applyBorder="1" applyAlignment="1">
      <alignment horizontal="center" vertical="center" wrapText="1"/>
    </xf>
    <xf numFmtId="0" fontId="19" fillId="7" borderId="5" xfId="0" applyFont="1" applyFill="1" applyBorder="1" applyAlignment="1">
      <alignment horizontal="center" vertical="center" wrapText="1"/>
    </xf>
    <xf numFmtId="187" fontId="17" fillId="0" borderId="7" xfId="3" applyNumberFormat="1" applyFont="1" applyBorder="1" applyAlignment="1">
      <alignment horizontal="center" vertical="center"/>
    </xf>
    <xf numFmtId="187" fontId="17" fillId="0" borderId="8" xfId="3" applyNumberFormat="1" applyFont="1" applyBorder="1" applyAlignment="1">
      <alignment horizontal="center" vertical="center"/>
    </xf>
    <xf numFmtId="177" fontId="17" fillId="0" borderId="9" xfId="1" applyNumberFormat="1" applyFont="1" applyBorder="1" applyAlignment="1">
      <alignment horizontal="center" vertical="center" wrapText="1"/>
    </xf>
    <xf numFmtId="0" fontId="17" fillId="0" borderId="0" xfId="0" applyFont="1" applyAlignment="1">
      <alignment horizontal="left" vertical="center" wrapText="1"/>
    </xf>
    <xf numFmtId="0" fontId="19" fillId="4" borderId="19" xfId="0" applyFont="1" applyFill="1" applyBorder="1" applyAlignment="1">
      <alignment horizontal="centerContinuous" vertical="center" wrapText="1"/>
    </xf>
    <xf numFmtId="0" fontId="19" fillId="4" borderId="20" xfId="0" applyFont="1" applyFill="1" applyBorder="1" applyAlignment="1">
      <alignment horizontal="centerContinuous" vertical="center" wrapText="1"/>
    </xf>
    <xf numFmtId="0" fontId="19" fillId="4" borderId="21" xfId="0" applyFont="1" applyFill="1" applyBorder="1" applyAlignment="1">
      <alignment horizontal="center" vertical="center" wrapText="1"/>
    </xf>
    <xf numFmtId="0" fontId="19" fillId="4" borderId="29" xfId="0" applyFont="1" applyFill="1" applyBorder="1" applyAlignment="1">
      <alignment horizontal="centerContinuous" vertical="center" wrapText="1"/>
    </xf>
    <xf numFmtId="180" fontId="17" fillId="4" borderId="29" xfId="3" applyNumberFormat="1" applyFont="1" applyFill="1" applyBorder="1" applyAlignment="1">
      <alignment horizontal="centerContinuous" vertical="center" wrapText="1"/>
    </xf>
    <xf numFmtId="0" fontId="19" fillId="4" borderId="29" xfId="0" applyFont="1" applyFill="1" applyBorder="1" applyAlignment="1">
      <alignment horizontal="center" vertical="center" wrapText="1"/>
    </xf>
    <xf numFmtId="0" fontId="19" fillId="6" borderId="19" xfId="0" applyFont="1" applyFill="1" applyBorder="1" applyAlignment="1">
      <alignment horizontal="centerContinuous" vertical="center" wrapText="1"/>
    </xf>
    <xf numFmtId="0" fontId="19" fillId="6" borderId="20" xfId="0" applyFont="1" applyFill="1" applyBorder="1" applyAlignment="1">
      <alignment horizontal="centerContinuous" vertical="center" wrapText="1"/>
    </xf>
    <xf numFmtId="0" fontId="19" fillId="6" borderId="21" xfId="0" applyFont="1" applyFill="1" applyBorder="1" applyAlignment="1">
      <alignment horizontal="center" vertical="center" wrapText="1"/>
    </xf>
    <xf numFmtId="0" fontId="19" fillId="7" borderId="19" xfId="0" applyFont="1" applyFill="1" applyBorder="1" applyAlignment="1">
      <alignment horizontal="centerContinuous" vertical="center" wrapText="1"/>
    </xf>
    <xf numFmtId="0" fontId="19" fillId="7" borderId="20" xfId="0" applyFont="1" applyFill="1" applyBorder="1" applyAlignment="1">
      <alignment horizontal="centerContinuous" vertical="center" wrapText="1"/>
    </xf>
    <xf numFmtId="0" fontId="19" fillId="7" borderId="21" xfId="0" applyFont="1" applyFill="1" applyBorder="1" applyAlignment="1">
      <alignment horizontal="center" vertical="center" wrapText="1"/>
    </xf>
    <xf numFmtId="0" fontId="19" fillId="7" borderId="29" xfId="0" applyFont="1" applyFill="1" applyBorder="1" applyAlignment="1">
      <alignment horizontal="center" vertical="center" wrapText="1"/>
    </xf>
    <xf numFmtId="0" fontId="19" fillId="4" borderId="21" xfId="0" applyFont="1" applyFill="1" applyBorder="1" applyAlignment="1">
      <alignment horizontal="centerContinuous" vertical="center" wrapText="1"/>
    </xf>
    <xf numFmtId="180" fontId="19" fillId="4" borderId="21" xfId="3" applyNumberFormat="1" applyFont="1" applyFill="1" applyBorder="1" applyAlignment="1">
      <alignment horizontal="centerContinuous" vertical="center" wrapText="1"/>
    </xf>
    <xf numFmtId="180" fontId="19" fillId="4" borderId="21" xfId="3" applyNumberFormat="1" applyFont="1" applyFill="1" applyBorder="1" applyAlignment="1">
      <alignment horizontal="center" vertical="center" wrapText="1"/>
    </xf>
    <xf numFmtId="180" fontId="19" fillId="4" borderId="28" xfId="3" applyNumberFormat="1" applyFont="1" applyFill="1" applyBorder="1" applyAlignment="1">
      <alignment horizontal="center" vertical="center" wrapText="1"/>
    </xf>
    <xf numFmtId="0" fontId="19" fillId="6" borderId="21" xfId="0" applyFont="1" applyFill="1" applyBorder="1" applyAlignment="1">
      <alignment horizontal="centerContinuous" vertical="center" wrapText="1"/>
    </xf>
    <xf numFmtId="0" fontId="19" fillId="6" borderId="22" xfId="0" applyFont="1" applyFill="1" applyBorder="1" applyAlignment="1">
      <alignment horizontal="center" vertical="center" wrapText="1"/>
    </xf>
    <xf numFmtId="0" fontId="19" fillId="7" borderId="21" xfId="0" applyFont="1" applyFill="1" applyBorder="1" applyAlignment="1">
      <alignment horizontal="centerContinuous" vertical="center" wrapText="1"/>
    </xf>
    <xf numFmtId="0" fontId="19" fillId="7" borderId="22" xfId="0" applyFont="1" applyFill="1" applyBorder="1" applyAlignment="1">
      <alignment horizontal="center" vertical="center" wrapText="1"/>
    </xf>
    <xf numFmtId="0" fontId="19" fillId="7" borderId="28"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23" xfId="0" applyFont="1" applyFill="1" applyBorder="1" applyAlignment="1">
      <alignment horizontal="center" vertical="center" wrapText="1"/>
    </xf>
    <xf numFmtId="180" fontId="19" fillId="4" borderId="23" xfId="3" applyNumberFormat="1" applyFont="1" applyFill="1" applyBorder="1" applyAlignment="1">
      <alignment horizontal="center" vertical="center" wrapText="1"/>
    </xf>
    <xf numFmtId="180" fontId="17" fillId="4" borderId="16" xfId="3" applyNumberFormat="1" applyFont="1" applyFill="1" applyBorder="1" applyAlignment="1">
      <alignment horizontal="center" vertical="center" wrapText="1"/>
    </xf>
    <xf numFmtId="180" fontId="19" fillId="4" borderId="1" xfId="3" applyNumberFormat="1"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19" fillId="6" borderId="23" xfId="0" applyFont="1" applyFill="1" applyBorder="1" applyAlignment="1">
      <alignment horizontal="center" vertical="center" wrapText="1"/>
    </xf>
    <xf numFmtId="0" fontId="17" fillId="6" borderId="23" xfId="0" applyFont="1" applyFill="1" applyBorder="1" applyAlignment="1">
      <alignment horizontal="center" vertical="center" wrapText="1"/>
    </xf>
    <xf numFmtId="0" fontId="18" fillId="10" borderId="25" xfId="0" applyFont="1" applyFill="1" applyBorder="1" applyAlignment="1">
      <alignment horizontal="center" vertical="center" wrapText="1"/>
    </xf>
    <xf numFmtId="0" fontId="19" fillId="7" borderId="16"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3" xfId="0" applyFont="1" applyFill="1" applyBorder="1" applyAlignment="1">
      <alignment horizontal="center" vertical="center" wrapText="1"/>
    </xf>
    <xf numFmtId="0" fontId="19" fillId="7" borderId="1" xfId="0" applyFont="1" applyFill="1" applyBorder="1" applyAlignment="1">
      <alignment horizontal="center" vertical="center" wrapText="1"/>
    </xf>
    <xf numFmtId="183" fontId="20" fillId="7" borderId="0" xfId="4" applyFont="1" applyFill="1" applyAlignment="1">
      <alignment horizontal="center"/>
    </xf>
    <xf numFmtId="176" fontId="17" fillId="0" borderId="2" xfId="0" applyNumberFormat="1" applyFont="1" applyBorder="1">
      <alignment vertical="center"/>
    </xf>
    <xf numFmtId="0" fontId="19" fillId="0" borderId="0" xfId="0" applyFont="1" applyAlignment="1">
      <alignment horizontal="right" vertical="center"/>
    </xf>
    <xf numFmtId="186" fontId="17" fillId="0" borderId="32" xfId="0" applyNumberFormat="1" applyFont="1" applyBorder="1" applyAlignment="1">
      <alignment vertical="center" wrapText="1"/>
    </xf>
    <xf numFmtId="186" fontId="17" fillId="0" borderId="31" xfId="0" applyNumberFormat="1" applyFont="1" applyBorder="1" applyAlignment="1">
      <alignment horizontal="center" vertical="center" wrapText="1"/>
    </xf>
    <xf numFmtId="186" fontId="17" fillId="0" borderId="0" xfId="3" applyNumberFormat="1" applyFont="1" applyAlignment="1">
      <alignment horizontal="center" vertical="center" wrapText="1"/>
    </xf>
    <xf numFmtId="186" fontId="17" fillId="0" borderId="2" xfId="3" applyNumberFormat="1" applyFont="1" applyFill="1" applyBorder="1" applyAlignment="1">
      <alignment horizontal="right" vertical="center" wrapText="1"/>
    </xf>
    <xf numFmtId="186" fontId="17" fillId="0" borderId="2" xfId="3" applyNumberFormat="1" applyFont="1" applyBorder="1" applyAlignment="1">
      <alignment horizontal="right" vertical="center" wrapText="1"/>
    </xf>
    <xf numFmtId="186" fontId="17" fillId="0" borderId="0" xfId="3" applyNumberFormat="1" applyFont="1" applyAlignment="1">
      <alignment horizontal="center" vertical="center"/>
    </xf>
    <xf numFmtId="186" fontId="17" fillId="0" borderId="32" xfId="0" applyNumberFormat="1" applyFont="1" applyBorder="1" applyAlignment="1">
      <alignment horizontal="center" vertical="center" wrapText="1"/>
    </xf>
    <xf numFmtId="186" fontId="17" fillId="0" borderId="33" xfId="0" applyNumberFormat="1" applyFont="1" applyBorder="1" applyAlignment="1">
      <alignment horizontal="center" vertical="center" wrapText="1"/>
    </xf>
    <xf numFmtId="186" fontId="17" fillId="0" borderId="32" xfId="3" applyNumberFormat="1" applyFont="1" applyBorder="1" applyAlignment="1">
      <alignment horizontal="center" vertical="center" wrapText="1"/>
    </xf>
    <xf numFmtId="186" fontId="17" fillId="0" borderId="31" xfId="3" applyNumberFormat="1" applyFont="1" applyBorder="1" applyAlignment="1">
      <alignment horizontal="center" vertical="center" wrapText="1"/>
    </xf>
    <xf numFmtId="186" fontId="17" fillId="0" borderId="14" xfId="3" applyNumberFormat="1" applyFont="1" applyBorder="1" applyAlignment="1">
      <alignment horizontal="center" vertical="center"/>
    </xf>
    <xf numFmtId="0" fontId="17" fillId="0" borderId="41" xfId="0" applyFont="1" applyBorder="1" applyAlignment="1">
      <alignment horizontal="center" vertical="center"/>
    </xf>
    <xf numFmtId="14" fontId="17" fillId="0" borderId="0" xfId="0" applyNumberFormat="1" applyFont="1">
      <alignment vertical="center"/>
    </xf>
    <xf numFmtId="186" fontId="17" fillId="0" borderId="16" xfId="3" applyNumberFormat="1" applyFont="1" applyBorder="1" applyAlignment="1">
      <alignment horizontal="right" vertical="center" wrapText="1"/>
    </xf>
    <xf numFmtId="186" fontId="17" fillId="0" borderId="3" xfId="3" applyNumberFormat="1" applyFont="1" applyBorder="1" applyAlignment="1">
      <alignment horizontal="right" vertical="center" wrapText="1"/>
    </xf>
    <xf numFmtId="186" fontId="17" fillId="0" borderId="23" xfId="3" applyNumberFormat="1" applyFont="1" applyBorder="1" applyAlignment="1">
      <alignment horizontal="right" vertical="center" wrapText="1"/>
    </xf>
    <xf numFmtId="186" fontId="17" fillId="0" borderId="14" xfId="3" applyNumberFormat="1" applyFont="1" applyBorder="1" applyAlignment="1">
      <alignment horizontal="center" vertical="center" wrapText="1"/>
    </xf>
    <xf numFmtId="186" fontId="19" fillId="0" borderId="0" xfId="3" applyNumberFormat="1" applyFont="1" applyAlignment="1">
      <alignment horizontal="center" vertical="center"/>
    </xf>
    <xf numFmtId="181" fontId="17" fillId="0" borderId="0" xfId="3" applyNumberFormat="1" applyFont="1" applyBorder="1" applyAlignment="1">
      <alignment horizontal="center" vertical="center"/>
    </xf>
    <xf numFmtId="186" fontId="17" fillId="0" borderId="18" xfId="3" applyNumberFormat="1" applyFont="1" applyBorder="1" applyAlignment="1">
      <alignment horizontal="right" vertical="center" wrapText="1"/>
    </xf>
    <xf numFmtId="186" fontId="17" fillId="0" borderId="4" xfId="3" applyNumberFormat="1" applyFont="1" applyBorder="1" applyAlignment="1">
      <alignment horizontal="right" vertical="center" wrapText="1"/>
    </xf>
    <xf numFmtId="186" fontId="17" fillId="0" borderId="24" xfId="3" applyNumberFormat="1" applyFont="1" applyBorder="1" applyAlignment="1">
      <alignment horizontal="right" vertical="center" wrapText="1"/>
    </xf>
    <xf numFmtId="186" fontId="17" fillId="0" borderId="2" xfId="3" applyNumberFormat="1" applyFont="1" applyBorder="1" applyAlignment="1">
      <alignment horizontal="right" vertical="center"/>
    </xf>
    <xf numFmtId="0" fontId="16" fillId="0" borderId="0" xfId="0" applyFont="1">
      <alignment vertical="center"/>
    </xf>
    <xf numFmtId="0" fontId="16" fillId="0" borderId="0" xfId="0" applyFont="1" applyAlignment="1">
      <alignment horizontal="center" vertical="center"/>
    </xf>
    <xf numFmtId="183" fontId="21" fillId="0" borderId="0" xfId="4" applyFont="1" applyAlignment="1">
      <alignment horizontal="center"/>
    </xf>
    <xf numFmtId="0" fontId="17" fillId="0" borderId="0" xfId="0" applyFont="1" applyAlignment="1">
      <alignment horizontal="left" vertical="center"/>
    </xf>
    <xf numFmtId="0" fontId="22" fillId="0" borderId="0" xfId="0" applyFont="1">
      <alignment vertical="center"/>
    </xf>
    <xf numFmtId="10" fontId="17" fillId="0" borderId="2" xfId="0" applyNumberFormat="1" applyFont="1" applyBorder="1">
      <alignment vertical="center"/>
    </xf>
    <xf numFmtId="0" fontId="17" fillId="0" borderId="0" xfId="0" applyFont="1" applyAlignment="1">
      <alignment horizontal="right" vertical="center"/>
    </xf>
    <xf numFmtId="9" fontId="17" fillId="0" borderId="0" xfId="0" applyNumberFormat="1" applyFont="1">
      <alignment vertical="center"/>
    </xf>
    <xf numFmtId="0" fontId="23" fillId="0" borderId="0" xfId="0" applyFont="1" applyAlignment="1">
      <alignment horizontal="right" vertical="center"/>
    </xf>
    <xf numFmtId="181" fontId="17" fillId="0" borderId="0" xfId="3" applyNumberFormat="1" applyFont="1" applyAlignment="1">
      <alignment horizontal="center" vertical="center"/>
    </xf>
    <xf numFmtId="180" fontId="17" fillId="0" borderId="2" xfId="0" applyNumberFormat="1" applyFont="1" applyBorder="1">
      <alignment vertical="center"/>
    </xf>
    <xf numFmtId="186" fontId="17" fillId="0" borderId="0" xfId="3" applyNumberFormat="1" applyFont="1" applyAlignment="1">
      <alignment vertical="center" wrapText="1"/>
    </xf>
    <xf numFmtId="0" fontId="19" fillId="0" borderId="42" xfId="0" applyFont="1" applyBorder="1" applyAlignment="1">
      <alignment horizontal="center" vertical="center"/>
    </xf>
    <xf numFmtId="186" fontId="17" fillId="0" borderId="42" xfId="3" applyNumberFormat="1" applyFont="1" applyBorder="1" applyAlignment="1">
      <alignment horizontal="center" vertical="center" wrapText="1"/>
    </xf>
    <xf numFmtId="186" fontId="19" fillId="0" borderId="42" xfId="3" applyNumberFormat="1" applyFont="1" applyBorder="1" applyAlignment="1">
      <alignment horizontal="center" vertical="center" wrapText="1"/>
    </xf>
    <xf numFmtId="186" fontId="17" fillId="0" borderId="42" xfId="3" applyNumberFormat="1" applyFont="1" applyFill="1" applyBorder="1" applyAlignment="1">
      <alignment horizontal="center" vertical="center" wrapText="1"/>
    </xf>
    <xf numFmtId="180" fontId="17" fillId="0" borderId="29" xfId="3" applyNumberFormat="1" applyFont="1" applyFill="1" applyBorder="1">
      <alignment vertical="center"/>
    </xf>
    <xf numFmtId="0" fontId="17" fillId="0" borderId="35" xfId="0" applyFont="1" applyBorder="1">
      <alignment vertical="center"/>
    </xf>
    <xf numFmtId="0" fontId="17" fillId="0" borderId="36" xfId="0" applyFont="1" applyBorder="1">
      <alignment vertical="center"/>
    </xf>
    <xf numFmtId="180" fontId="17" fillId="0" borderId="30" xfId="3" applyNumberFormat="1" applyFont="1" applyFill="1" applyBorder="1">
      <alignment vertical="center"/>
    </xf>
    <xf numFmtId="10" fontId="17" fillId="0" borderId="2" xfId="0" applyNumberFormat="1" applyFont="1" applyBorder="1" applyAlignment="1">
      <alignment horizontal="right" vertical="center"/>
    </xf>
    <xf numFmtId="0" fontId="17" fillId="0" borderId="2" xfId="0" applyFont="1" applyBorder="1">
      <alignment vertical="center"/>
    </xf>
    <xf numFmtId="38" fontId="17" fillId="0" borderId="0" xfId="3" applyFont="1">
      <alignment vertical="center"/>
    </xf>
    <xf numFmtId="38" fontId="17" fillId="0" borderId="2" xfId="0" applyNumberFormat="1" applyFont="1" applyBorder="1">
      <alignment vertical="center"/>
    </xf>
    <xf numFmtId="179" fontId="17" fillId="0" borderId="2" xfId="0" applyNumberFormat="1" applyFont="1" applyBorder="1">
      <alignment vertical="center"/>
    </xf>
    <xf numFmtId="180" fontId="17" fillId="0" borderId="0" xfId="3" applyNumberFormat="1" applyFont="1" applyAlignment="1">
      <alignment horizontal="left" vertical="center"/>
    </xf>
    <xf numFmtId="0" fontId="24" fillId="10" borderId="44" xfId="5" applyFont="1" applyFill="1" applyAlignment="1">
      <alignment horizontal="left" vertical="center"/>
    </xf>
    <xf numFmtId="176" fontId="27" fillId="0" borderId="2" xfId="0" applyNumberFormat="1" applyFont="1" applyBorder="1">
      <alignment vertical="center"/>
    </xf>
    <xf numFmtId="179" fontId="27" fillId="0" borderId="2" xfId="0" applyNumberFormat="1" applyFont="1" applyBorder="1">
      <alignment vertical="center"/>
    </xf>
    <xf numFmtId="179" fontId="27" fillId="0" borderId="2" xfId="1" applyNumberFormat="1" applyFont="1" applyBorder="1">
      <alignment vertical="center"/>
    </xf>
    <xf numFmtId="10" fontId="27" fillId="0" borderId="2" xfId="1" applyNumberFormat="1" applyFont="1" applyFill="1" applyBorder="1">
      <alignment vertical="center"/>
    </xf>
    <xf numFmtId="176" fontId="17" fillId="0" borderId="2" xfId="3" applyNumberFormat="1" applyFont="1" applyBorder="1">
      <alignment vertical="center"/>
    </xf>
    <xf numFmtId="180" fontId="27" fillId="0" borderId="39" xfId="3" applyNumberFormat="1" applyFont="1" applyFill="1" applyBorder="1">
      <alignment vertical="center"/>
    </xf>
    <xf numFmtId="176" fontId="26" fillId="3" borderId="2" xfId="2" applyFont="1" applyAlignment="1">
      <alignment horizontal="right"/>
      <protection locked="0"/>
    </xf>
    <xf numFmtId="176" fontId="26" fillId="3" borderId="2" xfId="2" applyFont="1">
      <protection locked="0"/>
    </xf>
    <xf numFmtId="14" fontId="26" fillId="3" borderId="2" xfId="2" applyNumberFormat="1" applyFont="1">
      <protection locked="0"/>
    </xf>
    <xf numFmtId="14" fontId="17" fillId="12" borderId="2" xfId="2" applyNumberFormat="1" applyFont="1" applyFill="1">
      <protection locked="0"/>
    </xf>
    <xf numFmtId="10" fontId="26" fillId="2" borderId="2" xfId="1" applyNumberFormat="1" applyFont="1" applyFill="1" applyBorder="1" applyAlignment="1"/>
    <xf numFmtId="10" fontId="26" fillId="12" borderId="2" xfId="1" applyNumberFormat="1" applyFont="1" applyFill="1" applyBorder="1" applyAlignment="1"/>
    <xf numFmtId="178" fontId="14" fillId="12" borderId="2" xfId="2" applyNumberFormat="1" applyFont="1" applyFill="1">
      <protection locked="0"/>
    </xf>
    <xf numFmtId="176" fontId="26" fillId="12" borderId="2" xfId="2" applyFont="1" applyFill="1">
      <protection locked="0"/>
    </xf>
    <xf numFmtId="9" fontId="26" fillId="2" borderId="2" xfId="1" applyFont="1" applyFill="1" applyBorder="1" applyAlignment="1"/>
    <xf numFmtId="9" fontId="26" fillId="12" borderId="14" xfId="1" applyFont="1" applyFill="1" applyBorder="1" applyAlignment="1"/>
    <xf numFmtId="9" fontId="14" fillId="0" borderId="2" xfId="2" applyNumberFormat="1" applyFont="1" applyFill="1">
      <protection locked="0"/>
    </xf>
    <xf numFmtId="10" fontId="26" fillId="2" borderId="1" xfId="1" applyNumberFormat="1" applyFont="1" applyFill="1" applyBorder="1" applyAlignment="1"/>
    <xf numFmtId="183" fontId="23" fillId="0" borderId="0" xfId="4" applyFont="1"/>
    <xf numFmtId="9" fontId="26" fillId="12" borderId="2" xfId="1" applyFont="1" applyFill="1" applyBorder="1" applyAlignment="1"/>
    <xf numFmtId="9" fontId="26" fillId="3" borderId="1" xfId="1" applyFont="1" applyFill="1" applyBorder="1" applyAlignment="1" applyProtection="1">
      <protection locked="0"/>
    </xf>
    <xf numFmtId="177" fontId="26" fillId="2" borderId="1" xfId="1" applyNumberFormat="1" applyFont="1" applyFill="1" applyBorder="1" applyAlignment="1"/>
    <xf numFmtId="185" fontId="26" fillId="3" borderId="2" xfId="2" applyNumberFormat="1" applyFont="1">
      <protection locked="0"/>
    </xf>
    <xf numFmtId="177" fontId="26" fillId="3" borderId="14" xfId="1" applyNumberFormat="1" applyFont="1" applyFill="1" applyBorder="1" applyAlignment="1" applyProtection="1">
      <protection locked="0"/>
    </xf>
    <xf numFmtId="0" fontId="18" fillId="10" borderId="44" xfId="5" applyFont="1" applyFill="1" applyAlignment="1">
      <alignment horizontal="left" vertical="center"/>
    </xf>
    <xf numFmtId="176" fontId="17" fillId="0" borderId="2" xfId="2" applyFont="1" applyFill="1">
      <protection locked="0"/>
    </xf>
    <xf numFmtId="176" fontId="17" fillId="0" borderId="14" xfId="2" applyFont="1" applyFill="1" applyBorder="1">
      <protection locked="0"/>
    </xf>
    <xf numFmtId="176" fontId="17" fillId="0" borderId="34" xfId="2" applyFont="1" applyFill="1" applyBorder="1">
      <protection locked="0"/>
    </xf>
    <xf numFmtId="176" fontId="17" fillId="0" borderId="37" xfId="2" applyFont="1" applyFill="1" applyBorder="1">
      <protection locked="0"/>
    </xf>
    <xf numFmtId="176" fontId="17" fillId="0" borderId="38" xfId="2" applyFont="1" applyFill="1" applyBorder="1">
      <protection locked="0"/>
    </xf>
    <xf numFmtId="178" fontId="17" fillId="0" borderId="2" xfId="2" applyNumberFormat="1" applyFont="1" applyFill="1">
      <protection locked="0"/>
    </xf>
    <xf numFmtId="178" fontId="27" fillId="0" borderId="2" xfId="2" applyNumberFormat="1" applyFont="1" applyFill="1">
      <protection locked="0"/>
    </xf>
    <xf numFmtId="178" fontId="14" fillId="0" borderId="2" xfId="2" applyNumberFormat="1" applyFont="1" applyFill="1">
      <protection locked="0"/>
    </xf>
    <xf numFmtId="178" fontId="26" fillId="0" borderId="2" xfId="2" applyNumberFormat="1" applyFont="1" applyFill="1">
      <protection locked="0"/>
    </xf>
    <xf numFmtId="180" fontId="27" fillId="0" borderId="40" xfId="3" applyNumberFormat="1" applyFont="1" applyFill="1" applyBorder="1">
      <alignment vertical="center"/>
    </xf>
    <xf numFmtId="176" fontId="27" fillId="0" borderId="2" xfId="2" applyFont="1" applyFill="1">
      <protection locked="0"/>
    </xf>
    <xf numFmtId="10" fontId="26" fillId="3" borderId="2" xfId="1" applyNumberFormat="1" applyFont="1" applyFill="1" applyBorder="1" applyAlignment="1" applyProtection="1">
      <protection locked="0"/>
    </xf>
    <xf numFmtId="2" fontId="17" fillId="0" borderId="26" xfId="0" applyNumberFormat="1" applyFont="1" applyBorder="1" applyAlignment="1">
      <alignment horizontal="right" vertical="center"/>
    </xf>
    <xf numFmtId="2" fontId="17" fillId="0" borderId="27" xfId="0" applyNumberFormat="1" applyFont="1" applyBorder="1" applyAlignment="1">
      <alignment horizontal="right" vertical="center"/>
    </xf>
    <xf numFmtId="0" fontId="23" fillId="0" borderId="0" xfId="0" applyFont="1" applyAlignment="1">
      <alignment horizontal="left" vertical="center"/>
    </xf>
    <xf numFmtId="176" fontId="26" fillId="2" borderId="2" xfId="2" applyFont="1" applyFill="1">
      <protection locked="0"/>
    </xf>
    <xf numFmtId="176" fontId="14" fillId="0" borderId="2" xfId="2" applyFont="1" applyFill="1">
      <protection locked="0"/>
    </xf>
    <xf numFmtId="184" fontId="27" fillId="0" borderId="2" xfId="0" applyNumberFormat="1" applyFont="1" applyBorder="1" applyAlignment="1">
      <alignment horizontal="right" vertical="center"/>
    </xf>
    <xf numFmtId="0" fontId="17" fillId="9" borderId="0" xfId="0" applyFont="1" applyFill="1">
      <alignment vertical="center"/>
    </xf>
    <xf numFmtId="0" fontId="28" fillId="0" borderId="0" xfId="0" applyFont="1">
      <alignment vertical="center"/>
    </xf>
    <xf numFmtId="0" fontId="29" fillId="10" borderId="44" xfId="5" applyFont="1" applyFill="1" applyAlignment="1">
      <alignment horizontal="left" vertical="center"/>
    </xf>
    <xf numFmtId="176" fontId="14" fillId="0" borderId="2" xfId="0" applyNumberFormat="1" applyFont="1" applyBorder="1">
      <alignment vertical="center"/>
    </xf>
    <xf numFmtId="0" fontId="32" fillId="10" borderId="44" xfId="5" applyFont="1" applyFill="1" applyAlignment="1">
      <alignment horizontal="left" vertical="center"/>
    </xf>
    <xf numFmtId="0" fontId="30" fillId="0" borderId="0" xfId="0" applyFont="1" applyAlignment="1">
      <alignment horizontal="left" vertical="center"/>
    </xf>
    <xf numFmtId="0" fontId="31" fillId="9" borderId="0" xfId="0" applyFont="1" applyFill="1" applyAlignment="1">
      <alignment horizontal="left" vertical="center"/>
    </xf>
    <xf numFmtId="0" fontId="31" fillId="0" borderId="0" xfId="0" applyFont="1" applyAlignment="1">
      <alignment horizontal="left" vertical="center"/>
    </xf>
    <xf numFmtId="0" fontId="30" fillId="0" borderId="36" xfId="0" applyFont="1" applyBorder="1" applyAlignment="1">
      <alignment horizontal="left" vertical="center"/>
    </xf>
    <xf numFmtId="0" fontId="32" fillId="10" borderId="0" xfId="0" applyFont="1" applyFill="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xf>
    <xf numFmtId="180" fontId="30" fillId="0" borderId="0" xfId="3" applyNumberFormat="1" applyFont="1" applyAlignment="1">
      <alignment horizontal="left" vertical="center"/>
    </xf>
    <xf numFmtId="9" fontId="26" fillId="3" borderId="2" xfId="1" applyFont="1" applyFill="1" applyBorder="1" applyAlignment="1" applyProtection="1">
      <protection locked="0"/>
    </xf>
    <xf numFmtId="0" fontId="19" fillId="5" borderId="12" xfId="0" applyFont="1" applyFill="1" applyBorder="1" applyAlignment="1">
      <alignment horizontal="center" vertical="center"/>
    </xf>
    <xf numFmtId="0" fontId="34" fillId="0" borderId="0" xfId="0" applyFont="1">
      <alignment vertical="center"/>
    </xf>
    <xf numFmtId="0" fontId="17" fillId="6" borderId="45" xfId="0" applyFont="1" applyFill="1" applyBorder="1">
      <alignment vertical="center"/>
    </xf>
    <xf numFmtId="0" fontId="30" fillId="6" borderId="45" xfId="0" applyFont="1" applyFill="1" applyBorder="1" applyAlignment="1">
      <alignment horizontal="left" vertical="center"/>
    </xf>
    <xf numFmtId="0" fontId="22" fillId="6" borderId="45" xfId="0" applyFont="1" applyFill="1" applyBorder="1">
      <alignment vertical="center"/>
    </xf>
    <xf numFmtId="176" fontId="17" fillId="0" borderId="0" xfId="0" applyNumberFormat="1" applyFont="1">
      <alignment vertical="center"/>
    </xf>
    <xf numFmtId="0" fontId="35" fillId="0" borderId="0" xfId="0" applyFont="1">
      <alignment vertical="center"/>
    </xf>
    <xf numFmtId="0" fontId="41" fillId="0" borderId="0" xfId="0" applyFont="1">
      <alignment vertical="center"/>
    </xf>
    <xf numFmtId="0" fontId="37" fillId="10" borderId="0" xfId="0" applyFont="1" applyFill="1">
      <alignment vertical="center"/>
    </xf>
    <xf numFmtId="0" fontId="37" fillId="0" borderId="0" xfId="0" applyFont="1">
      <alignment vertical="center"/>
    </xf>
    <xf numFmtId="0" fontId="36" fillId="6" borderId="45" xfId="0" applyFont="1" applyFill="1" applyBorder="1">
      <alignment vertical="center"/>
    </xf>
    <xf numFmtId="0" fontId="36" fillId="0" borderId="0" xfId="0" applyFont="1">
      <alignment vertical="center"/>
    </xf>
    <xf numFmtId="180" fontId="41" fillId="0" borderId="0" xfId="3" applyNumberFormat="1" applyFont="1" applyAlignment="1">
      <alignment horizontal="center" vertical="center" wrapText="1"/>
    </xf>
    <xf numFmtId="0" fontId="37" fillId="10" borderId="44" xfId="5" applyFont="1" applyFill="1" applyAlignment="1">
      <alignment horizontal="left" vertical="center"/>
    </xf>
    <xf numFmtId="0" fontId="36" fillId="0" borderId="47" xfId="0" applyFont="1" applyBorder="1">
      <alignment vertical="center"/>
    </xf>
    <xf numFmtId="0" fontId="36" fillId="9" borderId="47" xfId="0" applyFont="1" applyFill="1" applyBorder="1">
      <alignment vertical="center"/>
    </xf>
    <xf numFmtId="0" fontId="37" fillId="0" borderId="47" xfId="0" applyFont="1" applyBorder="1">
      <alignment vertical="center"/>
    </xf>
    <xf numFmtId="0" fontId="36" fillId="6" borderId="48" xfId="0" applyFont="1" applyFill="1" applyBorder="1">
      <alignment vertical="center"/>
    </xf>
    <xf numFmtId="0" fontId="38" fillId="0" borderId="47" xfId="0" applyFont="1" applyBorder="1">
      <alignment vertical="center"/>
    </xf>
    <xf numFmtId="0" fontId="39" fillId="6" borderId="48" xfId="0" applyFont="1" applyFill="1" applyBorder="1">
      <alignment vertical="center"/>
    </xf>
    <xf numFmtId="0" fontId="36" fillId="0" borderId="47" xfId="0" applyFont="1" applyBorder="1" applyAlignment="1">
      <alignment horizontal="center" vertical="center"/>
    </xf>
    <xf numFmtId="0" fontId="40" fillId="10" borderId="49" xfId="5" applyFont="1" applyFill="1" applyBorder="1" applyAlignment="1">
      <alignment horizontal="right" vertical="center"/>
    </xf>
    <xf numFmtId="0" fontId="17" fillId="0" borderId="0" xfId="0" applyFont="1" applyAlignment="1">
      <alignment horizontal="centerContinuous" vertical="center"/>
    </xf>
    <xf numFmtId="0" fontId="42" fillId="0" borderId="0" xfId="0" applyFont="1">
      <alignment vertical="center"/>
    </xf>
    <xf numFmtId="0" fontId="42" fillId="10" borderId="0" xfId="0" applyFont="1" applyFill="1">
      <alignment vertical="center"/>
    </xf>
    <xf numFmtId="0" fontId="42" fillId="6" borderId="45" xfId="0" applyFont="1" applyFill="1" applyBorder="1">
      <alignment vertical="center"/>
    </xf>
    <xf numFmtId="0" fontId="42" fillId="0" borderId="0" xfId="0" applyFont="1" applyAlignment="1">
      <alignment horizontal="left" vertical="center"/>
    </xf>
    <xf numFmtId="0" fontId="43" fillId="0" borderId="0" xfId="0" applyFont="1">
      <alignment vertical="center"/>
    </xf>
    <xf numFmtId="180" fontId="42" fillId="0" borderId="0" xfId="3" applyNumberFormat="1" applyFont="1" applyAlignment="1">
      <alignment horizontal="left" vertical="center"/>
    </xf>
    <xf numFmtId="0" fontId="44" fillId="0" borderId="0" xfId="0" applyFont="1">
      <alignment vertical="center"/>
    </xf>
    <xf numFmtId="0" fontId="42" fillId="10" borderId="44" xfId="5" applyFont="1" applyFill="1" applyAlignment="1">
      <alignment horizontal="left" vertical="center"/>
    </xf>
    <xf numFmtId="0" fontId="42" fillId="9" borderId="0" xfId="0" applyFont="1" applyFill="1">
      <alignment vertical="center"/>
    </xf>
    <xf numFmtId="0" fontId="45" fillId="0" borderId="0" xfId="0" applyFont="1" applyAlignment="1">
      <alignment horizontal="left" vertical="center"/>
    </xf>
    <xf numFmtId="176" fontId="17" fillId="0" borderId="0" xfId="2" applyFont="1" applyFill="1" applyBorder="1">
      <protection locked="0"/>
    </xf>
    <xf numFmtId="180" fontId="17" fillId="0" borderId="0" xfId="3" applyNumberFormat="1" applyFont="1" applyFill="1" applyBorder="1">
      <alignment vertical="center"/>
    </xf>
    <xf numFmtId="186" fontId="17" fillId="0" borderId="42" xfId="3" applyNumberFormat="1" applyFont="1" applyFill="1" applyBorder="1" applyAlignment="1">
      <alignment horizontal="right" vertical="center" wrapText="1"/>
    </xf>
    <xf numFmtId="0" fontId="19" fillId="14" borderId="20" xfId="0" applyFont="1" applyFill="1" applyBorder="1" applyAlignment="1">
      <alignment horizontal="centerContinuous" vertical="center" wrapText="1"/>
    </xf>
    <xf numFmtId="0" fontId="19" fillId="14" borderId="19" xfId="0" applyFont="1" applyFill="1" applyBorder="1" applyAlignment="1">
      <alignment horizontal="centerContinuous" vertical="center" wrapText="1"/>
    </xf>
    <xf numFmtId="0" fontId="19" fillId="14" borderId="21" xfId="0" applyFont="1" applyFill="1" applyBorder="1" applyAlignment="1">
      <alignment horizontal="centerContinuous" vertical="center" wrapText="1"/>
    </xf>
    <xf numFmtId="186" fontId="17" fillId="0" borderId="33" xfId="3" applyNumberFormat="1" applyFont="1" applyBorder="1" applyAlignment="1">
      <alignment horizontal="center" vertical="center" wrapText="1"/>
    </xf>
    <xf numFmtId="191" fontId="27" fillId="0" borderId="2" xfId="0" applyNumberFormat="1" applyFont="1" applyBorder="1" applyAlignment="1">
      <alignment horizontal="right" vertical="center"/>
    </xf>
    <xf numFmtId="0" fontId="17" fillId="0" borderId="46" xfId="0" applyFont="1" applyBorder="1">
      <alignment vertical="center"/>
    </xf>
    <xf numFmtId="0" fontId="30" fillId="0" borderId="46" xfId="0" applyFont="1" applyBorder="1" applyAlignment="1">
      <alignment horizontal="left" vertical="center"/>
    </xf>
    <xf numFmtId="178" fontId="17" fillId="0" borderId="46" xfId="0" applyNumberFormat="1" applyFont="1" applyBorder="1">
      <alignment vertical="center"/>
    </xf>
    <xf numFmtId="180" fontId="19" fillId="4" borderId="29" xfId="3" applyNumberFormat="1" applyFont="1" applyFill="1" applyBorder="1" applyAlignment="1">
      <alignment horizontal="center" vertical="center" wrapText="1"/>
    </xf>
    <xf numFmtId="178" fontId="14" fillId="0" borderId="29" xfId="2" applyNumberFormat="1" applyFont="1" applyFill="1" applyBorder="1">
      <protection locked="0"/>
    </xf>
    <xf numFmtId="180" fontId="17" fillId="0" borderId="39" xfId="3" applyNumberFormat="1" applyFont="1" applyFill="1" applyBorder="1">
      <alignment vertical="center"/>
    </xf>
    <xf numFmtId="182" fontId="17" fillId="0" borderId="3" xfId="3" applyNumberFormat="1" applyFont="1" applyBorder="1" applyAlignment="1">
      <alignment horizontal="right" vertical="center" wrapText="1"/>
    </xf>
    <xf numFmtId="182" fontId="17" fillId="0" borderId="23" xfId="3" applyNumberFormat="1" applyFont="1" applyBorder="1" applyAlignment="1">
      <alignment horizontal="right" vertical="center" wrapText="1"/>
    </xf>
    <xf numFmtId="177" fontId="26" fillId="2" borderId="2" xfId="1" applyNumberFormat="1" applyFont="1" applyFill="1" applyBorder="1" applyAlignment="1" applyProtection="1">
      <protection locked="0"/>
    </xf>
    <xf numFmtId="180" fontId="17" fillId="0" borderId="0" xfId="3" applyNumberFormat="1" applyFont="1" applyFill="1" applyAlignment="1">
      <alignment horizontal="center" vertical="center" wrapText="1"/>
    </xf>
    <xf numFmtId="192" fontId="17" fillId="0" borderId="29" xfId="0" applyNumberFormat="1" applyFont="1" applyBorder="1">
      <alignment vertical="center"/>
    </xf>
    <xf numFmtId="180" fontId="17" fillId="0" borderId="0" xfId="3" applyNumberFormat="1" applyFont="1" applyFill="1" applyAlignment="1">
      <alignment horizontal="left" vertical="center" wrapText="1"/>
    </xf>
    <xf numFmtId="10" fontId="17" fillId="0" borderId="0" xfId="0" applyNumberFormat="1" applyFont="1" applyAlignment="1">
      <alignment horizontal="right" vertical="center"/>
    </xf>
    <xf numFmtId="190" fontId="27" fillId="0" borderId="2" xfId="0" applyNumberFormat="1" applyFont="1" applyBorder="1">
      <alignment vertical="center"/>
    </xf>
    <xf numFmtId="190" fontId="27" fillId="0" borderId="29" xfId="0" applyNumberFormat="1" applyFont="1" applyBorder="1">
      <alignment vertical="center"/>
    </xf>
    <xf numFmtId="190" fontId="17" fillId="0" borderId="50" xfId="0" applyNumberFormat="1" applyFont="1" applyBorder="1">
      <alignment vertical="center"/>
    </xf>
    <xf numFmtId="9" fontId="26" fillId="0" borderId="0" xfId="1" applyFont="1" applyFill="1" applyBorder="1" applyAlignment="1"/>
    <xf numFmtId="180" fontId="41" fillId="0" borderId="0" xfId="3" applyNumberFormat="1" applyFont="1" applyFill="1" applyAlignment="1">
      <alignment horizontal="center" vertical="center" wrapText="1"/>
    </xf>
    <xf numFmtId="180" fontId="42" fillId="0" borderId="0" xfId="3" applyNumberFormat="1" applyFont="1" applyFill="1" applyAlignment="1">
      <alignment horizontal="left" vertical="center"/>
    </xf>
    <xf numFmtId="186" fontId="17" fillId="0" borderId="3" xfId="3" applyNumberFormat="1" applyFont="1" applyFill="1" applyBorder="1" applyAlignment="1">
      <alignment horizontal="right" vertical="center" wrapText="1"/>
    </xf>
    <xf numFmtId="186" fontId="17" fillId="0" borderId="23" xfId="3" applyNumberFormat="1" applyFont="1" applyFill="1" applyBorder="1" applyAlignment="1">
      <alignment horizontal="right" vertical="center" wrapText="1"/>
    </xf>
    <xf numFmtId="186" fontId="17" fillId="0" borderId="16" xfId="3" applyNumberFormat="1" applyFont="1" applyFill="1" applyBorder="1" applyAlignment="1">
      <alignment horizontal="right" vertical="center" wrapText="1"/>
    </xf>
    <xf numFmtId="186" fontId="17" fillId="0" borderId="4" xfId="3" applyNumberFormat="1" applyFont="1" applyFill="1" applyBorder="1" applyAlignment="1">
      <alignment horizontal="right" vertical="center" wrapText="1"/>
    </xf>
    <xf numFmtId="186" fontId="17" fillId="0" borderId="24" xfId="3" applyNumberFormat="1" applyFont="1" applyFill="1" applyBorder="1" applyAlignment="1">
      <alignment horizontal="right" vertical="center" wrapText="1"/>
    </xf>
    <xf numFmtId="186" fontId="17" fillId="0" borderId="0" xfId="3" applyNumberFormat="1" applyFont="1" applyFill="1" applyAlignment="1">
      <alignment horizontal="center" vertical="center"/>
    </xf>
    <xf numFmtId="186" fontId="17" fillId="0" borderId="18" xfId="3" applyNumberFormat="1" applyFont="1" applyFill="1" applyBorder="1" applyAlignment="1">
      <alignment horizontal="right" vertical="center" wrapText="1"/>
    </xf>
    <xf numFmtId="0" fontId="47" fillId="14" borderId="19" xfId="0" applyFont="1" applyFill="1" applyBorder="1" applyAlignment="1">
      <alignment horizontal="centerContinuous" vertical="center" wrapText="1"/>
    </xf>
    <xf numFmtId="0" fontId="47" fillId="14" borderId="20" xfId="0" applyFont="1" applyFill="1" applyBorder="1" applyAlignment="1">
      <alignment horizontal="centerContinuous" vertical="center" wrapText="1"/>
    </xf>
    <xf numFmtId="0" fontId="47" fillId="14" borderId="21" xfId="0" applyFont="1" applyFill="1" applyBorder="1" applyAlignment="1">
      <alignment horizontal="centerContinuous" vertical="center" wrapText="1"/>
    </xf>
    <xf numFmtId="0" fontId="47" fillId="14" borderId="16" xfId="0" applyFont="1" applyFill="1" applyBorder="1" applyAlignment="1">
      <alignment horizontal="center" vertical="center" wrapText="1"/>
    </xf>
    <xf numFmtId="0" fontId="47" fillId="14" borderId="3" xfId="0" applyFont="1" applyFill="1" applyBorder="1" applyAlignment="1">
      <alignment horizontal="center" vertical="center" wrapText="1"/>
    </xf>
    <xf numFmtId="0" fontId="47" fillId="14" borderId="23" xfId="0" applyFont="1" applyFill="1" applyBorder="1" applyAlignment="1">
      <alignment horizontal="center" vertical="center" wrapText="1"/>
    </xf>
    <xf numFmtId="0" fontId="19" fillId="14" borderId="16"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7" fillId="0" borderId="46" xfId="0" applyFont="1" applyBorder="1" applyAlignment="1">
      <alignment horizontal="left" vertical="center"/>
    </xf>
    <xf numFmtId="0" fontId="46" fillId="0" borderId="0" xfId="0" applyFont="1">
      <alignment vertical="center"/>
    </xf>
    <xf numFmtId="186" fontId="17" fillId="0" borderId="14" xfId="3" applyNumberFormat="1" applyFont="1" applyFill="1" applyBorder="1" applyAlignment="1">
      <alignment horizontal="center" vertical="center" wrapText="1"/>
    </xf>
    <xf numFmtId="186" fontId="19" fillId="0" borderId="0" xfId="3" applyNumberFormat="1" applyFont="1" applyFill="1" applyAlignment="1">
      <alignment horizontal="center" vertical="center"/>
    </xf>
    <xf numFmtId="181" fontId="17" fillId="0" borderId="0" xfId="3" applyNumberFormat="1" applyFont="1" applyFill="1" applyBorder="1" applyAlignment="1">
      <alignment horizontal="center" vertical="center"/>
    </xf>
    <xf numFmtId="181" fontId="17" fillId="0" borderId="0" xfId="3" applyNumberFormat="1" applyFont="1" applyFill="1" applyAlignment="1">
      <alignment horizontal="center" vertical="center"/>
    </xf>
    <xf numFmtId="0" fontId="17" fillId="0" borderId="46" xfId="0" applyFont="1" applyBorder="1" applyAlignment="1">
      <alignment horizontal="right" vertical="center"/>
    </xf>
    <xf numFmtId="192" fontId="17" fillId="0" borderId="50" xfId="0" applyNumberFormat="1" applyFont="1" applyBorder="1">
      <alignment vertical="center"/>
    </xf>
    <xf numFmtId="10" fontId="27" fillId="0" borderId="29" xfId="1" applyNumberFormat="1" applyFont="1" applyFill="1" applyBorder="1">
      <alignment vertical="center"/>
    </xf>
    <xf numFmtId="0" fontId="17" fillId="0" borderId="50" xfId="0" applyFont="1" applyBorder="1">
      <alignment vertical="center"/>
    </xf>
    <xf numFmtId="0" fontId="19" fillId="7" borderId="51" xfId="0" applyFont="1" applyFill="1" applyBorder="1" applyAlignment="1">
      <alignment horizontal="center" vertical="center" wrapText="1"/>
    </xf>
    <xf numFmtId="0" fontId="19" fillId="7" borderId="52" xfId="0" applyFont="1" applyFill="1" applyBorder="1" applyAlignment="1">
      <alignment horizontal="center" vertical="center" wrapText="1"/>
    </xf>
    <xf numFmtId="177" fontId="17" fillId="0" borderId="53" xfId="1" applyNumberFormat="1" applyFont="1" applyBorder="1" applyAlignment="1">
      <alignment horizontal="center" vertical="center" wrapText="1"/>
    </xf>
    <xf numFmtId="180" fontId="27" fillId="0" borderId="2" xfId="3" applyNumberFormat="1" applyFont="1" applyFill="1" applyBorder="1">
      <alignment vertical="center"/>
    </xf>
    <xf numFmtId="0" fontId="17" fillId="0" borderId="47" xfId="0" applyFont="1" applyBorder="1">
      <alignment vertical="center"/>
    </xf>
    <xf numFmtId="0" fontId="19" fillId="8" borderId="47" xfId="0" applyFont="1" applyFill="1" applyBorder="1">
      <alignment vertical="center"/>
    </xf>
    <xf numFmtId="0" fontId="19" fillId="0" borderId="47" xfId="0" applyFont="1" applyBorder="1">
      <alignment vertical="center"/>
    </xf>
    <xf numFmtId="0" fontId="19" fillId="0" borderId="47" xfId="0" applyFont="1" applyBorder="1" applyAlignment="1">
      <alignment horizontal="center" vertical="center"/>
    </xf>
    <xf numFmtId="0" fontId="19" fillId="0" borderId="47" xfId="0" applyFont="1" applyBorder="1" applyAlignment="1">
      <alignment horizontal="right" vertical="center"/>
    </xf>
    <xf numFmtId="14" fontId="17" fillId="0" borderId="47" xfId="0" applyNumberFormat="1" applyFont="1" applyBorder="1">
      <alignment vertical="center"/>
    </xf>
    <xf numFmtId="0" fontId="17" fillId="0" borderId="47" xfId="0" applyFont="1" applyBorder="1" applyAlignment="1">
      <alignment horizontal="center" vertical="center"/>
    </xf>
    <xf numFmtId="0" fontId="24" fillId="10" borderId="49" xfId="5" applyFont="1" applyFill="1" applyBorder="1" applyAlignment="1">
      <alignment horizontal="left" vertical="center"/>
    </xf>
    <xf numFmtId="183" fontId="8" fillId="0" borderId="0" xfId="4"/>
    <xf numFmtId="183" fontId="8" fillId="0" borderId="0" xfId="4" applyAlignment="1">
      <alignment horizontal="left"/>
    </xf>
    <xf numFmtId="176" fontId="17" fillId="0" borderId="2" xfId="3" applyNumberFormat="1" applyFont="1" applyFill="1" applyBorder="1">
      <alignment vertical="center"/>
    </xf>
    <xf numFmtId="176" fontId="17" fillId="0" borderId="29" xfId="3" applyNumberFormat="1" applyFont="1" applyFill="1" applyBorder="1">
      <alignment vertical="center"/>
    </xf>
    <xf numFmtId="0" fontId="19" fillId="0" borderId="4" xfId="0" applyFont="1" applyBorder="1">
      <alignment vertical="center"/>
    </xf>
    <xf numFmtId="0" fontId="19" fillId="0" borderId="24" xfId="0" applyFont="1" applyBorder="1" applyAlignment="1">
      <alignment horizontal="left" vertical="center"/>
    </xf>
    <xf numFmtId="177" fontId="17" fillId="0" borderId="54" xfId="1" applyNumberFormat="1" applyFont="1" applyFill="1" applyBorder="1" applyAlignment="1">
      <alignment horizontal="center" vertical="center" wrapText="1"/>
    </xf>
    <xf numFmtId="186" fontId="17" fillId="0" borderId="31" xfId="3" applyNumberFormat="1" applyFont="1" applyFill="1" applyBorder="1" applyAlignment="1">
      <alignment horizontal="center" vertical="center" wrapText="1"/>
    </xf>
    <xf numFmtId="180" fontId="17" fillId="0" borderId="0" xfId="3" applyNumberFormat="1" applyFont="1" applyFill="1" applyAlignment="1">
      <alignment horizontal="center" vertical="center"/>
    </xf>
    <xf numFmtId="186" fontId="19" fillId="0" borderId="42" xfId="3" applyNumberFormat="1" applyFont="1" applyFill="1" applyBorder="1" applyAlignment="1">
      <alignment horizontal="center" vertical="center" wrapText="1"/>
    </xf>
    <xf numFmtId="186" fontId="17" fillId="0" borderId="0" xfId="0" applyNumberFormat="1" applyFont="1">
      <alignment vertical="center"/>
    </xf>
    <xf numFmtId="186" fontId="17" fillId="0" borderId="0" xfId="0" applyNumberFormat="1" applyFont="1" applyAlignment="1">
      <alignment vertical="center" wrapText="1"/>
    </xf>
    <xf numFmtId="186" fontId="17" fillId="0" borderId="0" xfId="0" applyNumberFormat="1" applyFont="1" applyAlignment="1">
      <alignment horizontal="center" vertical="center" wrapText="1"/>
    </xf>
    <xf numFmtId="0" fontId="48" fillId="0" borderId="0" xfId="0" applyFont="1">
      <alignment vertical="center"/>
    </xf>
    <xf numFmtId="176" fontId="26" fillId="0" borderId="2" xfId="2" applyFont="1" applyFill="1">
      <protection locked="0"/>
    </xf>
    <xf numFmtId="0" fontId="19" fillId="0" borderId="0" xfId="0" applyFont="1" applyAlignment="1">
      <alignment horizontal="left" vertical="center"/>
    </xf>
    <xf numFmtId="10" fontId="17" fillId="0" borderId="0" xfId="0" applyNumberFormat="1" applyFont="1" applyAlignment="1">
      <alignment horizontal="center" vertical="center" wrapText="1"/>
    </xf>
    <xf numFmtId="10" fontId="26" fillId="8" borderId="2" xfId="1" applyNumberFormat="1" applyFont="1" applyFill="1" applyBorder="1" applyAlignment="1"/>
    <xf numFmtId="9" fontId="26" fillId="8" borderId="2" xfId="1" applyFont="1" applyFill="1" applyBorder="1" applyAlignment="1"/>
    <xf numFmtId="0" fontId="5" fillId="0" borderId="0" xfId="0" applyFont="1">
      <alignment vertical="center"/>
    </xf>
    <xf numFmtId="176" fontId="10" fillId="3" borderId="2" xfId="2" applyFont="1">
      <protection locked="0"/>
    </xf>
    <xf numFmtId="9" fontId="10" fillId="8" borderId="2" xfId="1" applyFont="1" applyFill="1" applyBorder="1" applyAlignment="1"/>
    <xf numFmtId="178" fontId="10" fillId="12" borderId="2" xfId="2" applyNumberFormat="1" applyFont="1" applyFill="1">
      <protection locked="0"/>
    </xf>
    <xf numFmtId="0" fontId="49" fillId="12" borderId="0" xfId="0" applyFont="1" applyFill="1">
      <alignment vertical="center"/>
    </xf>
    <xf numFmtId="176" fontId="17" fillId="0" borderId="29" xfId="0" applyNumberFormat="1" applyFont="1" applyBorder="1">
      <alignment vertical="center"/>
    </xf>
    <xf numFmtId="176" fontId="17" fillId="0" borderId="50" xfId="0" applyNumberFormat="1" applyFont="1" applyBorder="1">
      <alignment vertical="center"/>
    </xf>
    <xf numFmtId="10" fontId="50" fillId="8" borderId="2" xfId="0" applyNumberFormat="1" applyFont="1" applyFill="1" applyBorder="1">
      <alignment vertical="center"/>
    </xf>
    <xf numFmtId="176" fontId="27" fillId="0" borderId="29" xfId="0" applyNumberFormat="1" applyFont="1" applyBorder="1">
      <alignment vertical="center"/>
    </xf>
    <xf numFmtId="176" fontId="14" fillId="0" borderId="50" xfId="0" applyNumberFormat="1" applyFont="1" applyBorder="1">
      <alignment vertical="center"/>
    </xf>
    <xf numFmtId="176" fontId="26" fillId="8" borderId="2" xfId="2" applyFont="1" applyFill="1" applyAlignment="1">
      <alignment horizontal="left"/>
      <protection locked="0"/>
    </xf>
    <xf numFmtId="176" fontId="26" fillId="8" borderId="2" xfId="2" applyFont="1" applyFill="1">
      <protection locked="0"/>
    </xf>
    <xf numFmtId="185" fontId="26" fillId="8" borderId="2" xfId="2" applyNumberFormat="1" applyFont="1" applyFill="1">
      <protection locked="0"/>
    </xf>
    <xf numFmtId="176" fontId="17" fillId="8" borderId="2" xfId="2" applyFont="1" applyFill="1" applyAlignment="1">
      <alignment horizontal="right"/>
      <protection locked="0"/>
    </xf>
    <xf numFmtId="0" fontId="18" fillId="0" borderId="47" xfId="0" applyFont="1" applyBorder="1">
      <alignment vertical="center"/>
    </xf>
    <xf numFmtId="0" fontId="16" fillId="0" borderId="47" xfId="0" applyFont="1" applyBorder="1">
      <alignment vertical="center"/>
    </xf>
    <xf numFmtId="0" fontId="22" fillId="0" borderId="47" xfId="0" applyFont="1" applyBorder="1">
      <alignment vertical="center"/>
    </xf>
    <xf numFmtId="0" fontId="25" fillId="10" borderId="49" xfId="5" applyFont="1" applyFill="1" applyBorder="1" applyAlignment="1">
      <alignment horizontal="right" vertical="center"/>
    </xf>
    <xf numFmtId="180" fontId="17" fillId="0" borderId="0" xfId="0" applyNumberFormat="1" applyFont="1">
      <alignment vertical="center"/>
    </xf>
    <xf numFmtId="0" fontId="30" fillId="0" borderId="55" xfId="0" applyFont="1" applyBorder="1" applyAlignment="1">
      <alignment horizontal="left" vertical="center"/>
    </xf>
    <xf numFmtId="0" fontId="18" fillId="9" borderId="47" xfId="0" applyFont="1" applyFill="1" applyBorder="1">
      <alignment vertical="center"/>
    </xf>
    <xf numFmtId="0" fontId="48" fillId="0" borderId="0" xfId="0" applyFont="1" applyAlignment="1">
      <alignment horizontal="left" vertical="center"/>
    </xf>
    <xf numFmtId="0" fontId="17" fillId="6" borderId="45" xfId="0" applyFont="1" applyFill="1" applyBorder="1" applyAlignment="1">
      <alignment horizontal="left" vertical="center"/>
    </xf>
    <xf numFmtId="176" fontId="16" fillId="3" borderId="2" xfId="2" applyFont="1" applyAlignment="1">
      <alignment horizontal="left"/>
      <protection locked="0"/>
    </xf>
    <xf numFmtId="9" fontId="16" fillId="8" borderId="2" xfId="1" applyFont="1" applyFill="1" applyBorder="1" applyAlignment="1">
      <alignment horizontal="left"/>
    </xf>
    <xf numFmtId="178" fontId="16" fillId="12" borderId="2" xfId="2" applyNumberFormat="1" applyFont="1" applyFill="1" applyAlignment="1">
      <alignment horizontal="left"/>
      <protection locked="0"/>
    </xf>
    <xf numFmtId="0" fontId="18" fillId="10" borderId="0" xfId="0" applyFont="1" applyFill="1" applyAlignment="1">
      <alignment horizontal="left" vertical="center"/>
    </xf>
    <xf numFmtId="0" fontId="19" fillId="9" borderId="0" xfId="0" applyFont="1" applyFill="1" applyAlignment="1">
      <alignment horizontal="left" vertical="center"/>
    </xf>
    <xf numFmtId="0" fontId="51" fillId="12" borderId="0" xfId="0" applyFont="1" applyFill="1">
      <alignment vertical="center"/>
    </xf>
    <xf numFmtId="0" fontId="19" fillId="7" borderId="0" xfId="0" applyFont="1" applyFill="1" applyAlignment="1">
      <alignment horizontal="center" vertical="center"/>
    </xf>
    <xf numFmtId="0" fontId="19" fillId="7" borderId="5" xfId="0" applyFont="1" applyFill="1" applyBorder="1" applyAlignment="1">
      <alignment horizontal="center" vertical="center"/>
    </xf>
    <xf numFmtId="177" fontId="17" fillId="0" borderId="9" xfId="1" applyNumberFormat="1" applyFont="1" applyBorder="1" applyAlignment="1">
      <alignment horizontal="center" vertical="center"/>
    </xf>
    <xf numFmtId="177" fontId="17" fillId="0" borderId="6" xfId="1" applyNumberFormat="1" applyFont="1" applyBorder="1" applyAlignment="1">
      <alignment horizontal="center" vertical="center"/>
    </xf>
    <xf numFmtId="180" fontId="17" fillId="4" borderId="29" xfId="3" applyNumberFormat="1" applyFont="1" applyFill="1" applyBorder="1" applyAlignment="1">
      <alignment horizontal="centerContinuous" vertical="center"/>
    </xf>
    <xf numFmtId="0" fontId="19" fillId="6" borderId="19" xfId="0" applyFont="1" applyFill="1" applyBorder="1" applyAlignment="1">
      <alignment horizontal="centerContinuous" vertical="center"/>
    </xf>
    <xf numFmtId="0" fontId="19" fillId="6" borderId="20" xfId="0" applyFont="1" applyFill="1" applyBorder="1" applyAlignment="1">
      <alignment horizontal="centerContinuous" vertical="center"/>
    </xf>
    <xf numFmtId="0" fontId="19" fillId="6" borderId="21" xfId="0" applyFont="1" applyFill="1" applyBorder="1" applyAlignment="1">
      <alignment horizontal="center" vertical="center"/>
    </xf>
    <xf numFmtId="180" fontId="19" fillId="4" borderId="17" xfId="3" applyNumberFormat="1" applyFont="1" applyFill="1" applyBorder="1" applyAlignment="1">
      <alignment horizontal="center" vertical="center" wrapText="1"/>
    </xf>
    <xf numFmtId="0" fontId="17" fillId="7" borderId="0" xfId="0" applyFont="1" applyFill="1" applyAlignment="1">
      <alignment horizontal="left" vertical="center"/>
    </xf>
    <xf numFmtId="0" fontId="17" fillId="0" borderId="47" xfId="0" applyFont="1" applyBorder="1" applyAlignment="1">
      <alignment vertical="center" wrapText="1"/>
    </xf>
    <xf numFmtId="0" fontId="19" fillId="4" borderId="1" xfId="0" applyFont="1" applyFill="1" applyBorder="1" applyAlignment="1">
      <alignment horizontal="center" vertical="center" wrapText="1"/>
    </xf>
    <xf numFmtId="183" fontId="21" fillId="7" borderId="0" xfId="4" applyFont="1" applyFill="1" applyAlignment="1">
      <alignment horizontal="center" wrapText="1"/>
    </xf>
    <xf numFmtId="176" fontId="17" fillId="0" borderId="2" xfId="0" applyNumberFormat="1" applyFont="1" applyBorder="1" applyAlignment="1">
      <alignment vertical="center" wrapText="1"/>
    </xf>
    <xf numFmtId="186" fontId="17" fillId="0" borderId="32" xfId="0" applyNumberFormat="1" applyFont="1" applyBorder="1">
      <alignment vertical="center"/>
    </xf>
    <xf numFmtId="186" fontId="17" fillId="0" borderId="31" xfId="0" applyNumberFormat="1" applyFont="1" applyBorder="1" applyAlignment="1">
      <alignment horizontal="center" vertical="center"/>
    </xf>
    <xf numFmtId="186" fontId="17" fillId="0" borderId="2" xfId="3" applyNumberFormat="1" applyFont="1" applyFill="1" applyBorder="1" applyAlignment="1">
      <alignment horizontal="right" vertical="center"/>
    </xf>
    <xf numFmtId="186" fontId="17" fillId="0" borderId="32" xfId="0" applyNumberFormat="1" applyFont="1" applyBorder="1" applyAlignment="1">
      <alignment horizontal="center" vertical="center"/>
    </xf>
    <xf numFmtId="186" fontId="17" fillId="0" borderId="33" xfId="0" applyNumberFormat="1" applyFont="1" applyBorder="1" applyAlignment="1">
      <alignment horizontal="center" vertical="center"/>
    </xf>
    <xf numFmtId="176" fontId="17" fillId="0" borderId="0" xfId="0" applyNumberFormat="1" applyFont="1" applyAlignment="1">
      <alignment vertical="center" wrapText="1"/>
    </xf>
    <xf numFmtId="186" fontId="17" fillId="0" borderId="23" xfId="3" applyNumberFormat="1" applyFont="1" applyBorder="1" applyAlignment="1">
      <alignment horizontal="right" vertical="center"/>
    </xf>
    <xf numFmtId="0" fontId="19" fillId="0" borderId="3" xfId="0" applyFont="1" applyBorder="1">
      <alignment vertical="center"/>
    </xf>
    <xf numFmtId="186" fontId="17" fillId="0" borderId="16" xfId="3" applyNumberFormat="1" applyFont="1" applyBorder="1" applyAlignment="1">
      <alignment horizontal="right" vertical="center"/>
    </xf>
    <xf numFmtId="186" fontId="17" fillId="0" borderId="3" xfId="3" applyNumberFormat="1" applyFont="1" applyBorder="1" applyAlignment="1">
      <alignment horizontal="right" vertical="center"/>
    </xf>
    <xf numFmtId="186" fontId="17" fillId="0" borderId="18" xfId="3" applyNumberFormat="1" applyFont="1" applyBorder="1" applyAlignment="1">
      <alignment horizontal="right" vertical="center"/>
    </xf>
    <xf numFmtId="186" fontId="17" fillId="0" borderId="4" xfId="3" applyNumberFormat="1" applyFont="1" applyBorder="1" applyAlignment="1">
      <alignment horizontal="right" vertical="center"/>
    </xf>
    <xf numFmtId="186" fontId="17" fillId="0" borderId="24" xfId="3" applyNumberFormat="1" applyFont="1" applyBorder="1" applyAlignment="1">
      <alignment horizontal="right" vertical="center"/>
    </xf>
    <xf numFmtId="183" fontId="21" fillId="0" borderId="41" xfId="4" applyFont="1" applyBorder="1" applyAlignment="1">
      <alignment horizontal="center"/>
    </xf>
    <xf numFmtId="181" fontId="17" fillId="0" borderId="41" xfId="3" applyNumberFormat="1" applyFont="1" applyBorder="1" applyAlignment="1">
      <alignment horizontal="right" vertical="center"/>
    </xf>
    <xf numFmtId="178" fontId="17" fillId="0" borderId="2" xfId="0" applyNumberFormat="1" applyFont="1" applyBorder="1">
      <alignment vertical="center"/>
    </xf>
    <xf numFmtId="186" fontId="17" fillId="0" borderId="42" xfId="0" applyNumberFormat="1" applyFont="1" applyBorder="1" applyAlignment="1">
      <alignment horizontal="center" vertical="center"/>
    </xf>
    <xf numFmtId="186" fontId="17" fillId="0" borderId="42" xfId="3" applyNumberFormat="1" applyFont="1" applyBorder="1" applyAlignment="1">
      <alignment horizontal="center" vertical="center"/>
    </xf>
    <xf numFmtId="178" fontId="17" fillId="0" borderId="0" xfId="0" applyNumberFormat="1" applyFont="1">
      <alignment vertical="center"/>
    </xf>
    <xf numFmtId="0" fontId="17" fillId="0" borderId="35" xfId="0" applyFont="1" applyBorder="1" applyAlignment="1">
      <alignment horizontal="left" vertical="center"/>
    </xf>
    <xf numFmtId="182" fontId="17" fillId="0" borderId="0" xfId="0" applyNumberFormat="1" applyFont="1" applyAlignment="1">
      <alignment horizontal="center" vertical="center"/>
    </xf>
    <xf numFmtId="184" fontId="17" fillId="0" borderId="2" xfId="0" applyNumberFormat="1" applyFont="1" applyBorder="1" applyAlignment="1">
      <alignment horizontal="right" vertical="center"/>
    </xf>
    <xf numFmtId="179" fontId="17" fillId="0" borderId="2" xfId="1" applyNumberFormat="1" applyFont="1" applyBorder="1">
      <alignment vertical="center"/>
    </xf>
    <xf numFmtId="9" fontId="16" fillId="8" borderId="2" xfId="1" applyFont="1" applyFill="1" applyBorder="1" applyAlignment="1"/>
    <xf numFmtId="186" fontId="19" fillId="0" borderId="42" xfId="3" applyNumberFormat="1" applyFont="1" applyBorder="1" applyAlignment="1">
      <alignment horizontal="center" vertical="center"/>
    </xf>
    <xf numFmtId="177" fontId="14" fillId="12" borderId="2" xfId="1" applyNumberFormat="1" applyFont="1" applyFill="1" applyBorder="1" applyAlignment="1"/>
    <xf numFmtId="177" fontId="14" fillId="12" borderId="0" xfId="1" applyNumberFormat="1" applyFont="1" applyFill="1" applyBorder="1" applyAlignment="1"/>
    <xf numFmtId="9" fontId="14" fillId="12" borderId="2" xfId="1" applyFont="1" applyFill="1" applyBorder="1" applyAlignment="1"/>
    <xf numFmtId="179" fontId="26" fillId="2" borderId="2" xfId="1" applyNumberFormat="1" applyFont="1" applyFill="1" applyBorder="1" applyAlignment="1"/>
    <xf numFmtId="177" fontId="26" fillId="3" borderId="2" xfId="1" applyNumberFormat="1" applyFont="1" applyFill="1" applyBorder="1" applyAlignment="1" applyProtection="1">
      <protection locked="0"/>
    </xf>
    <xf numFmtId="10" fontId="17" fillId="0" borderId="29" xfId="1" applyNumberFormat="1" applyFont="1" applyFill="1" applyBorder="1">
      <alignment vertical="center"/>
    </xf>
    <xf numFmtId="0" fontId="17" fillId="0" borderId="55" xfId="0" applyFont="1" applyBorder="1">
      <alignment vertical="center"/>
    </xf>
    <xf numFmtId="0" fontId="46" fillId="0" borderId="0" xfId="0" applyFont="1" applyAlignment="1">
      <alignment vertical="center" wrapText="1"/>
    </xf>
    <xf numFmtId="0" fontId="53" fillId="10" borderId="44" xfId="5" applyFont="1" applyFill="1" applyAlignment="1">
      <alignment horizontal="left" vertical="center"/>
    </xf>
    <xf numFmtId="0" fontId="46" fillId="0" borderId="0" xfId="0" applyFont="1" applyAlignment="1">
      <alignment horizontal="left" vertical="center"/>
    </xf>
    <xf numFmtId="0" fontId="52" fillId="9" borderId="0" xfId="0" applyFont="1" applyFill="1" applyAlignment="1">
      <alignment horizontal="left" vertical="center"/>
    </xf>
    <xf numFmtId="0" fontId="52" fillId="0" borderId="0" xfId="0" applyFont="1" applyAlignment="1">
      <alignment horizontal="left" vertical="center"/>
    </xf>
    <xf numFmtId="0" fontId="46" fillId="0" borderId="0" xfId="0" applyFont="1" applyAlignment="1">
      <alignment horizontal="left" vertical="center" wrapText="1"/>
    </xf>
    <xf numFmtId="0" fontId="46" fillId="0" borderId="36" xfId="0" applyFont="1" applyBorder="1" applyAlignment="1">
      <alignment horizontal="left" vertical="center"/>
    </xf>
    <xf numFmtId="0" fontId="46" fillId="0" borderId="46" xfId="0" applyFont="1" applyBorder="1" applyAlignment="1">
      <alignment horizontal="left" vertical="center"/>
    </xf>
    <xf numFmtId="0" fontId="46" fillId="6" borderId="45" xfId="0" applyFont="1" applyFill="1" applyBorder="1" applyAlignment="1">
      <alignment horizontal="left" vertical="center"/>
    </xf>
    <xf numFmtId="0" fontId="30" fillId="0" borderId="0" xfId="0" applyFont="1">
      <alignment vertical="center"/>
    </xf>
    <xf numFmtId="0" fontId="54" fillId="10" borderId="0" xfId="0" applyFont="1" applyFill="1">
      <alignment vertical="center"/>
    </xf>
    <xf numFmtId="0" fontId="54" fillId="0" borderId="0" xfId="0" applyFont="1">
      <alignment vertical="center"/>
    </xf>
    <xf numFmtId="0" fontId="31" fillId="0" borderId="0" xfId="0" applyFont="1">
      <alignment vertical="center"/>
    </xf>
    <xf numFmtId="0" fontId="30" fillId="6" borderId="45" xfId="0" applyFont="1" applyFill="1" applyBorder="1">
      <alignment vertical="center"/>
    </xf>
    <xf numFmtId="0" fontId="55" fillId="0" borderId="0" xfId="0" applyFont="1">
      <alignment vertical="center"/>
    </xf>
    <xf numFmtId="180" fontId="46" fillId="0" borderId="0" xfId="3" applyNumberFormat="1" applyFont="1" applyAlignment="1">
      <alignment vertical="center" wrapText="1"/>
    </xf>
    <xf numFmtId="180" fontId="30" fillId="0" borderId="0" xfId="3" applyNumberFormat="1" applyFont="1" applyAlignment="1">
      <alignment vertical="center"/>
    </xf>
    <xf numFmtId="0" fontId="53" fillId="10" borderId="44" xfId="5" applyFont="1" applyFill="1" applyAlignment="1">
      <alignment vertical="center"/>
    </xf>
    <xf numFmtId="178" fontId="27" fillId="0" borderId="2" xfId="0" applyNumberFormat="1" applyFont="1" applyBorder="1">
      <alignment vertical="center"/>
    </xf>
    <xf numFmtId="180" fontId="30" fillId="0" borderId="0" xfId="3" applyNumberFormat="1" applyFont="1" applyAlignment="1">
      <alignment horizontal="left" vertical="center" wrapText="1"/>
    </xf>
    <xf numFmtId="0" fontId="30" fillId="0" borderId="0" xfId="0" applyFont="1" applyAlignment="1">
      <alignment horizontal="left" vertical="center" wrapText="1"/>
    </xf>
    <xf numFmtId="38" fontId="26" fillId="2" borderId="2" xfId="3" applyFont="1" applyFill="1" applyBorder="1" applyAlignment="1"/>
    <xf numFmtId="176" fontId="26" fillId="8" borderId="14" xfId="2" applyFont="1" applyFill="1" applyBorder="1">
      <protection locked="0"/>
    </xf>
    <xf numFmtId="177" fontId="26" fillId="8" borderId="14" xfId="1" applyNumberFormat="1" applyFont="1" applyFill="1" applyBorder="1" applyAlignment="1" applyProtection="1">
      <protection locked="0"/>
    </xf>
    <xf numFmtId="10" fontId="26" fillId="8" borderId="14" xfId="1" applyNumberFormat="1" applyFont="1" applyFill="1" applyBorder="1" applyAlignment="1"/>
    <xf numFmtId="177" fontId="26" fillId="8" borderId="15" xfId="1" applyNumberFormat="1" applyFont="1" applyFill="1" applyBorder="1" applyAlignment="1"/>
    <xf numFmtId="0" fontId="46" fillId="0" borderId="55" xfId="0" applyFont="1" applyBorder="1" applyAlignment="1">
      <alignment horizontal="left" vertical="center"/>
    </xf>
    <xf numFmtId="9" fontId="26" fillId="8" borderId="14" xfId="1" applyFont="1" applyFill="1" applyBorder="1" applyAlignment="1"/>
    <xf numFmtId="176" fontId="16" fillId="3" borderId="2" xfId="2" applyFont="1" applyAlignment="1">
      <protection locked="0"/>
    </xf>
    <xf numFmtId="178" fontId="16" fillId="12" borderId="2" xfId="2" applyNumberFormat="1" applyFont="1" applyFill="1" applyAlignment="1">
      <protection locked="0"/>
    </xf>
    <xf numFmtId="0" fontId="23" fillId="0" borderId="0" xfId="0" applyFont="1">
      <alignment vertical="center"/>
    </xf>
    <xf numFmtId="180" fontId="17" fillId="0" borderId="0" xfId="3" applyNumberFormat="1" applyFont="1" applyAlignment="1">
      <alignment vertical="center" wrapText="1"/>
    </xf>
    <xf numFmtId="180" fontId="17" fillId="0" borderId="0" xfId="3" applyNumberFormat="1" applyFont="1" applyFill="1" applyAlignment="1">
      <alignment vertical="center" wrapText="1"/>
    </xf>
    <xf numFmtId="0" fontId="24" fillId="10" borderId="44" xfId="5" applyFont="1" applyFill="1" applyAlignment="1">
      <alignment vertical="center"/>
    </xf>
    <xf numFmtId="180" fontId="17" fillId="0" borderId="0" xfId="3" applyNumberFormat="1" applyFont="1" applyAlignment="1">
      <alignment vertical="center"/>
    </xf>
    <xf numFmtId="176" fontId="17" fillId="0" borderId="30" xfId="3" applyNumberFormat="1" applyFont="1" applyFill="1" applyBorder="1">
      <alignment vertical="center"/>
    </xf>
    <xf numFmtId="176" fontId="17" fillId="0" borderId="39" xfId="3" applyNumberFormat="1" applyFont="1" applyFill="1" applyBorder="1">
      <alignment vertical="center"/>
    </xf>
    <xf numFmtId="176" fontId="17" fillId="0" borderId="40" xfId="3" applyNumberFormat="1" applyFont="1" applyFill="1" applyBorder="1">
      <alignment vertical="center"/>
    </xf>
    <xf numFmtId="176" fontId="14" fillId="12" borderId="2" xfId="2" applyFont="1" applyFill="1">
      <protection locked="0"/>
    </xf>
    <xf numFmtId="2" fontId="17" fillId="0" borderId="2" xfId="0" applyNumberFormat="1" applyFont="1" applyBorder="1">
      <alignment vertical="center"/>
    </xf>
    <xf numFmtId="177" fontId="17" fillId="8" borderId="14" xfId="0" applyNumberFormat="1" applyFont="1" applyFill="1" applyBorder="1">
      <alignment vertical="center"/>
    </xf>
    <xf numFmtId="178" fontId="26" fillId="8" borderId="14" xfId="2" applyNumberFormat="1" applyFont="1" applyFill="1" applyBorder="1">
      <protection locked="0"/>
    </xf>
    <xf numFmtId="178" fontId="14" fillId="8" borderId="14" xfId="2" applyNumberFormat="1" applyFont="1" applyFill="1" applyBorder="1">
      <protection locked="0"/>
    </xf>
    <xf numFmtId="177" fontId="26" fillId="12" borderId="2" xfId="1" applyNumberFormat="1" applyFont="1" applyFill="1" applyBorder="1" applyAlignment="1"/>
    <xf numFmtId="9" fontId="14" fillId="12" borderId="0" xfId="1" applyFont="1" applyFill="1" applyBorder="1" applyAlignment="1"/>
    <xf numFmtId="176" fontId="17" fillId="0" borderId="29" xfId="3" applyNumberFormat="1" applyFont="1" applyBorder="1">
      <alignment vertical="center"/>
    </xf>
    <xf numFmtId="176" fontId="17" fillId="0" borderId="50" xfId="3" applyNumberFormat="1" applyFont="1" applyBorder="1">
      <alignment vertical="center"/>
    </xf>
    <xf numFmtId="176" fontId="27" fillId="12" borderId="2" xfId="2" applyFont="1" applyFill="1">
      <protection locked="0"/>
    </xf>
    <xf numFmtId="0" fontId="19" fillId="5" borderId="10" xfId="0" applyFont="1" applyFill="1" applyBorder="1" applyAlignment="1">
      <alignment horizontal="centerContinuous" vertical="center"/>
    </xf>
    <xf numFmtId="0" fontId="19" fillId="5" borderId="10" xfId="0" applyFont="1" applyFill="1" applyBorder="1" applyAlignment="1">
      <alignment horizontal="centerContinuous" vertical="center" wrapText="1"/>
    </xf>
    <xf numFmtId="176" fontId="14" fillId="8" borderId="14" xfId="2" applyFont="1" applyFill="1" applyBorder="1">
      <protection locked="0"/>
    </xf>
    <xf numFmtId="176" fontId="17" fillId="0" borderId="50" xfId="3" applyNumberFormat="1" applyFont="1" applyFill="1" applyBorder="1">
      <alignment vertical="center"/>
    </xf>
    <xf numFmtId="0" fontId="7" fillId="15" borderId="0" xfId="0" applyFont="1" applyFill="1">
      <alignment vertical="center"/>
    </xf>
    <xf numFmtId="0" fontId="7" fillId="16" borderId="0" xfId="0" applyFont="1" applyFill="1">
      <alignment vertical="center"/>
    </xf>
    <xf numFmtId="0" fontId="56" fillId="15" borderId="0" xfId="0" applyFont="1" applyFill="1" applyAlignment="1">
      <alignment horizontal="center" vertical="center"/>
    </xf>
    <xf numFmtId="0" fontId="56" fillId="0" borderId="0" xfId="0" applyFont="1" applyAlignment="1">
      <alignment horizontal="center" vertical="center"/>
    </xf>
    <xf numFmtId="0" fontId="58" fillId="0" borderId="0" xfId="0" applyFont="1" applyAlignment="1">
      <alignment horizontal="center" vertical="center"/>
    </xf>
    <xf numFmtId="0" fontId="57" fillId="15" borderId="0" xfId="0" applyFont="1" applyFill="1">
      <alignment vertical="center"/>
    </xf>
    <xf numFmtId="0" fontId="57" fillId="16" borderId="0" xfId="0" applyFont="1" applyFill="1">
      <alignment vertical="center"/>
    </xf>
    <xf numFmtId="0" fontId="59" fillId="0" borderId="0" xfId="0" applyFont="1">
      <alignment vertical="center"/>
    </xf>
    <xf numFmtId="0" fontId="45" fillId="0" borderId="0" xfId="0" applyFont="1">
      <alignment vertical="center"/>
    </xf>
    <xf numFmtId="0" fontId="60" fillId="11" borderId="0" xfId="0" applyFont="1" applyFill="1">
      <alignment vertical="center"/>
    </xf>
    <xf numFmtId="0" fontId="24" fillId="11" borderId="0" xfId="0" applyFont="1" applyFill="1">
      <alignment vertical="center"/>
    </xf>
    <xf numFmtId="0" fontId="32" fillId="11" borderId="0" xfId="0" applyFont="1" applyFill="1" applyAlignment="1">
      <alignment horizontal="left" vertical="center"/>
    </xf>
    <xf numFmtId="0" fontId="61" fillId="0" borderId="0" xfId="0" applyFont="1">
      <alignment vertical="center"/>
    </xf>
    <xf numFmtId="0" fontId="59" fillId="15" borderId="0" xfId="0" applyFont="1" applyFill="1">
      <alignment vertical="center"/>
    </xf>
    <xf numFmtId="0" fontId="30" fillId="15" borderId="0" xfId="0" applyFont="1" applyFill="1" applyAlignment="1">
      <alignment horizontal="left" vertical="center"/>
    </xf>
    <xf numFmtId="0" fontId="45" fillId="15" borderId="0" xfId="0" applyFont="1" applyFill="1">
      <alignment vertical="center"/>
    </xf>
    <xf numFmtId="0" fontId="13" fillId="15" borderId="0" xfId="0" applyFont="1" applyFill="1">
      <alignment vertical="center"/>
    </xf>
    <xf numFmtId="0" fontId="59" fillId="16" borderId="0" xfId="0" applyFont="1" applyFill="1">
      <alignment vertical="center"/>
    </xf>
    <xf numFmtId="0" fontId="13" fillId="16" borderId="0" xfId="0" applyFont="1" applyFill="1">
      <alignment vertical="center"/>
    </xf>
    <xf numFmtId="0" fontId="62" fillId="15" borderId="0" xfId="0" applyFont="1" applyFill="1" applyAlignment="1">
      <alignment horizontal="centerContinuous" vertical="center"/>
    </xf>
    <xf numFmtId="0" fontId="62" fillId="15" borderId="0" xfId="0" applyFont="1" applyFill="1">
      <alignment vertical="center"/>
    </xf>
    <xf numFmtId="9" fontId="13" fillId="0" borderId="0" xfId="0" applyNumberFormat="1" applyFont="1">
      <alignment vertical="center"/>
    </xf>
    <xf numFmtId="0" fontId="64" fillId="0" borderId="0" xfId="0" applyFont="1" applyAlignment="1">
      <alignment horizontal="left" vertical="center"/>
    </xf>
    <xf numFmtId="0" fontId="65" fillId="0" borderId="0" xfId="0" applyFont="1">
      <alignment vertical="center"/>
    </xf>
    <xf numFmtId="0" fontId="41" fillId="0" borderId="2" xfId="0" applyFont="1" applyBorder="1" applyAlignment="1">
      <alignment horizontal="centerContinuous" vertical="center"/>
    </xf>
    <xf numFmtId="0" fontId="67" fillId="0" borderId="24" xfId="0" applyFont="1" applyBorder="1" applyAlignment="1">
      <alignment horizontal="centerContinuous" vertical="center"/>
    </xf>
    <xf numFmtId="0" fontId="64" fillId="0" borderId="0" xfId="0" applyFont="1">
      <alignment vertical="center"/>
    </xf>
    <xf numFmtId="0" fontId="41" fillId="0" borderId="24" xfId="0" applyFont="1" applyBorder="1" applyAlignment="1">
      <alignment horizontal="centerContinuous" vertical="center"/>
    </xf>
    <xf numFmtId="0" fontId="64" fillId="0" borderId="24" xfId="0" applyFont="1" applyBorder="1" applyAlignment="1">
      <alignment horizontal="centerContinuous" vertical="center"/>
    </xf>
    <xf numFmtId="0" fontId="64" fillId="0" borderId="2" xfId="0" applyFont="1" applyBorder="1" applyAlignment="1">
      <alignment horizontal="centerContinuous" vertical="center"/>
    </xf>
    <xf numFmtId="0" fontId="41" fillId="0" borderId="2" xfId="0" applyFont="1" applyBorder="1" applyAlignment="1">
      <alignment horizontal="right" vertical="center"/>
    </xf>
    <xf numFmtId="38" fontId="64" fillId="0" borderId="2" xfId="3" applyFont="1" applyBorder="1" applyAlignment="1">
      <alignment horizontal="right" vertical="center"/>
    </xf>
    <xf numFmtId="0" fontId="67" fillId="0" borderId="0" xfId="0" applyFont="1" applyAlignment="1">
      <alignment horizontal="right" vertical="center"/>
    </xf>
    <xf numFmtId="9" fontId="64" fillId="0" borderId="2" xfId="3" applyNumberFormat="1" applyFont="1" applyBorder="1" applyAlignment="1">
      <alignment horizontal="right" vertical="center"/>
    </xf>
    <xf numFmtId="9" fontId="64" fillId="0" borderId="0" xfId="0" applyNumberFormat="1" applyFont="1">
      <alignment vertical="center"/>
    </xf>
    <xf numFmtId="10" fontId="64" fillId="0" borderId="14" xfId="1" applyNumberFormat="1" applyFont="1" applyFill="1" applyBorder="1" applyAlignment="1">
      <alignment horizontal="right" vertical="center"/>
    </xf>
    <xf numFmtId="179" fontId="64" fillId="0" borderId="2" xfId="3" applyNumberFormat="1" applyFont="1" applyBorder="1" applyAlignment="1">
      <alignment horizontal="right" vertical="center"/>
    </xf>
    <xf numFmtId="179" fontId="64" fillId="0" borderId="0" xfId="0" applyNumberFormat="1" applyFont="1">
      <alignment vertical="center"/>
    </xf>
    <xf numFmtId="193" fontId="41" fillId="0" borderId="2" xfId="0" applyNumberFormat="1" applyFont="1" applyBorder="1" applyAlignment="1">
      <alignment horizontal="right" vertical="center"/>
    </xf>
    <xf numFmtId="193" fontId="64" fillId="0" borderId="0" xfId="0" applyNumberFormat="1" applyFont="1">
      <alignment vertical="center"/>
    </xf>
    <xf numFmtId="188" fontId="64" fillId="0" borderId="2" xfId="3" applyNumberFormat="1" applyFont="1" applyBorder="1" applyAlignment="1">
      <alignment horizontal="right" vertical="center"/>
    </xf>
    <xf numFmtId="188" fontId="64" fillId="0" borderId="14" xfId="1" applyNumberFormat="1" applyFont="1" applyFill="1" applyBorder="1" applyAlignment="1">
      <alignment horizontal="right" vertical="center"/>
    </xf>
    <xf numFmtId="188" fontId="64" fillId="0" borderId="0" xfId="0" applyNumberFormat="1" applyFont="1">
      <alignment vertical="center"/>
    </xf>
    <xf numFmtId="177" fontId="64" fillId="0" borderId="2" xfId="0" applyNumberFormat="1" applyFont="1" applyBorder="1" applyAlignment="1">
      <alignment horizontal="centerContinuous" vertical="center"/>
    </xf>
    <xf numFmtId="188" fontId="41" fillId="0" borderId="2" xfId="0" applyNumberFormat="1" applyFont="1" applyBorder="1" applyAlignment="1">
      <alignment horizontal="right" vertical="center"/>
    </xf>
    <xf numFmtId="10" fontId="67" fillId="0" borderId="14" xfId="1" applyNumberFormat="1" applyFont="1" applyFill="1" applyBorder="1" applyAlignment="1">
      <alignment horizontal="right" vertical="center"/>
    </xf>
    <xf numFmtId="10" fontId="64" fillId="0" borderId="2" xfId="1" applyNumberFormat="1" applyFont="1" applyBorder="1" applyAlignment="1">
      <alignment horizontal="right" vertical="center"/>
    </xf>
    <xf numFmtId="0" fontId="29" fillId="11" borderId="0" xfId="0" applyFont="1" applyFill="1">
      <alignment vertical="center"/>
    </xf>
    <xf numFmtId="0" fontId="68" fillId="11" borderId="0" xfId="0" applyFont="1" applyFill="1">
      <alignment vertical="center"/>
    </xf>
    <xf numFmtId="0" fontId="69" fillId="0" borderId="0" xfId="0" applyFont="1">
      <alignment vertical="center"/>
    </xf>
    <xf numFmtId="0" fontId="68" fillId="15" borderId="0" xfId="0" applyFont="1" applyFill="1">
      <alignment vertical="center"/>
    </xf>
    <xf numFmtId="0" fontId="68" fillId="0" borderId="0" xfId="0" applyFont="1">
      <alignment vertical="center"/>
    </xf>
    <xf numFmtId="0" fontId="68" fillId="16" borderId="0" xfId="0" applyFont="1" applyFill="1">
      <alignment vertical="center"/>
    </xf>
    <xf numFmtId="178" fontId="14" fillId="8" borderId="34" xfId="2" applyNumberFormat="1" applyFont="1" applyFill="1" applyBorder="1">
      <protection locked="0"/>
    </xf>
    <xf numFmtId="178" fontId="14" fillId="8" borderId="56" xfId="2" applyNumberFormat="1" applyFont="1" applyFill="1" applyBorder="1">
      <protection locked="0"/>
    </xf>
    <xf numFmtId="9" fontId="26" fillId="12" borderId="0" xfId="1" applyFont="1" applyFill="1" applyBorder="1" applyAlignment="1"/>
    <xf numFmtId="183" fontId="21" fillId="0" borderId="0" xfId="4" applyFont="1" applyFill="1" applyAlignment="1">
      <alignment horizontal="center"/>
    </xf>
    <xf numFmtId="0" fontId="19" fillId="0" borderId="47" xfId="0" applyFont="1" applyBorder="1" applyAlignment="1">
      <alignment horizontal="center"/>
    </xf>
    <xf numFmtId="0" fontId="19" fillId="0" borderId="0" xfId="0" applyFont="1" applyAlignment="1">
      <alignment horizontal="center"/>
    </xf>
    <xf numFmtId="186" fontId="17" fillId="0" borderId="42" xfId="3" applyNumberFormat="1" applyFont="1" applyFill="1" applyBorder="1" applyAlignment="1">
      <alignment horizontal="center" vertical="center"/>
    </xf>
    <xf numFmtId="186" fontId="19" fillId="0" borderId="42" xfId="3" applyNumberFormat="1" applyFont="1" applyFill="1" applyBorder="1" applyAlignment="1">
      <alignment horizontal="center" vertical="center"/>
    </xf>
    <xf numFmtId="0" fontId="22" fillId="0" borderId="57" xfId="0" applyFont="1" applyBorder="1">
      <alignment vertical="center"/>
    </xf>
    <xf numFmtId="0" fontId="17" fillId="0" borderId="57" xfId="0" applyFont="1" applyBorder="1">
      <alignment vertical="center"/>
    </xf>
    <xf numFmtId="0" fontId="17" fillId="0" borderId="57" xfId="0" applyFont="1" applyBorder="1" applyAlignment="1">
      <alignment horizontal="left" vertical="center"/>
    </xf>
    <xf numFmtId="0" fontId="63" fillId="2" borderId="18" xfId="0" applyFont="1" applyFill="1" applyBorder="1" applyAlignment="1">
      <alignment horizontal="center" vertical="center"/>
    </xf>
    <xf numFmtId="0" fontId="63" fillId="2" borderId="24" xfId="0" applyFont="1" applyFill="1" applyBorder="1" applyAlignment="1">
      <alignment horizontal="center" vertical="center"/>
    </xf>
    <xf numFmtId="0" fontId="66" fillId="0" borderId="18" xfId="0" applyFont="1" applyBorder="1" applyAlignment="1">
      <alignment horizontal="center" vertical="center"/>
    </xf>
    <xf numFmtId="0" fontId="66" fillId="0" borderId="24" xfId="0" applyFont="1" applyBorder="1" applyAlignment="1">
      <alignment horizontal="center" vertical="center"/>
    </xf>
    <xf numFmtId="0" fontId="65" fillId="0" borderId="18" xfId="0" applyFont="1" applyBorder="1" applyAlignment="1">
      <alignment horizontal="center" vertical="center"/>
    </xf>
    <xf numFmtId="0" fontId="65" fillId="0" borderId="24" xfId="0" applyFont="1" applyBorder="1" applyAlignment="1">
      <alignment horizontal="center" vertical="center"/>
    </xf>
  </cellXfs>
  <cellStyles count="7">
    <cellStyle name="CallUp_T" xfId="6" xr:uid="{7A7EC4B9-76A2-48A4-87B3-F28DD66BC3BF}"/>
    <cellStyle name="DTInputValue" xfId="2" xr:uid="{1572B57F-FA50-4781-8A97-41338D16CE36}"/>
    <cellStyle name="DTWarning" xfId="4" xr:uid="{E830659A-CD60-483C-8C64-FC3C83E1B004}"/>
    <cellStyle name="パーセント" xfId="1" builtinId="5"/>
    <cellStyle name="桁区切り" xfId="3" builtinId="6"/>
    <cellStyle name="見出し 1" xfId="5" builtinId="16"/>
    <cellStyle name="標準" xfId="0" builtinId="0"/>
  </cellStyles>
  <dxfs count="0"/>
  <tableStyles count="0" defaultTableStyle="TableStyleMedium2" defaultPivotStyle="PivotStyleLight16"/>
  <colors>
    <mruColors>
      <color rgb="FFFFFF99"/>
      <color rgb="FF0000FF"/>
      <color rgb="FF3333FF"/>
      <color rgb="FFDCC5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24130</xdr:colOff>
      <xdr:row>1</xdr:row>
      <xdr:rowOff>38101</xdr:rowOff>
    </xdr:from>
    <xdr:to>
      <xdr:col>13</xdr:col>
      <xdr:colOff>594359</xdr:colOff>
      <xdr:row>16</xdr:row>
      <xdr:rowOff>67310</xdr:rowOff>
    </xdr:to>
    <xdr:sp macro="" textlink="">
      <xdr:nvSpPr>
        <xdr:cNvPr id="2" name="正方形/長方形 1">
          <a:extLst>
            <a:ext uri="{FF2B5EF4-FFF2-40B4-BE49-F238E27FC236}">
              <a16:creationId xmlns:a16="http://schemas.microsoft.com/office/drawing/2014/main" id="{A36F2722-267F-43B3-9D1A-3B5AB01BC1DD}"/>
            </a:ext>
          </a:extLst>
        </xdr:cNvPr>
        <xdr:cNvSpPr/>
      </xdr:nvSpPr>
      <xdr:spPr>
        <a:xfrm>
          <a:off x="709930" y="190501"/>
          <a:ext cx="8799829" cy="231520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tLang="ja-JP" sz="1100">
            <a:solidFill>
              <a:schemeClr val="tx1"/>
            </a:solidFill>
            <a:effectLst/>
            <a:latin typeface="+mn-lt"/>
            <a:ea typeface="+mn-ea"/>
            <a:cs typeface="+mn-cs"/>
          </a:endParaRPr>
        </a:p>
        <a:p>
          <a:endParaRPr lang="en-US" altLang="ja-JP" sz="1100">
            <a:solidFill>
              <a:schemeClr val="tx1"/>
            </a:solidFill>
            <a:effectLst/>
            <a:latin typeface="+mn-lt"/>
            <a:ea typeface="+mn-ea"/>
            <a:cs typeface="+mn-cs"/>
          </a:endParaRPr>
        </a:p>
        <a:p>
          <a:r>
            <a:rPr lang="ja-JP" altLang="ja-JP" sz="1100">
              <a:solidFill>
                <a:schemeClr val="tx1"/>
              </a:solidFill>
              <a:effectLst/>
              <a:latin typeface="+mn-lt"/>
              <a:ea typeface="+mn-ea"/>
              <a:cs typeface="+mn-cs"/>
            </a:rPr>
            <a:t>本コンテンツの著作権は内閣府に帰属します。利用者はコンテンツを複製、編集・加工等を自由に利用できます。</a:t>
          </a:r>
        </a:p>
        <a:p>
          <a:r>
            <a:rPr lang="ja-JP" altLang="ja-JP" sz="1100">
              <a:solidFill>
                <a:schemeClr val="tx1"/>
              </a:solidFill>
              <a:effectLst/>
              <a:latin typeface="+mn-lt"/>
              <a:ea typeface="+mn-ea"/>
              <a:cs typeface="+mn-cs"/>
            </a:rPr>
            <a:t>コンテンツを利用する際は出典を記載してください。また編集・加工等した情報を、あたかも内閣府が作成したかのような態様で公表・利用することは禁止します。</a:t>
          </a:r>
        </a:p>
        <a:p>
          <a:r>
            <a:rPr lang="ja-JP" altLang="ja-JP" sz="1100">
              <a:solidFill>
                <a:schemeClr val="tx1"/>
              </a:solidFill>
              <a:effectLst/>
              <a:latin typeface="+mn-lt"/>
              <a:ea typeface="+mn-ea"/>
              <a:cs typeface="+mn-cs"/>
            </a:rPr>
            <a:t>内閣府は、利用者がコンテンツを用いて行う一切の行為（コンテンツを編集・加工等した情報を利用することを含む。）に関係して直接また間接に発生したいかなる損失および損害に対して責任を負いません。</a:t>
          </a:r>
        </a:p>
        <a:p>
          <a:r>
            <a:rPr lang="ja-JP" altLang="ja-JP" sz="1100">
              <a:solidFill>
                <a:schemeClr val="tx1"/>
              </a:solidFill>
              <a:effectLst/>
              <a:latin typeface="+mn-lt"/>
              <a:ea typeface="+mn-ea"/>
              <a:cs typeface="+mn-cs"/>
            </a:rPr>
            <a:t>コンテンツにおける情報の正確性や完全性に関して、いかなる保証または確約などをするものではありません。</a:t>
          </a:r>
        </a:p>
        <a:p>
          <a:r>
            <a:rPr lang="ja-JP" altLang="ja-JP" sz="1100">
              <a:solidFill>
                <a:schemeClr val="tx1"/>
              </a:solidFill>
              <a:effectLst/>
              <a:latin typeface="+mn-lt"/>
              <a:ea typeface="+mn-ea"/>
              <a:cs typeface="+mn-cs"/>
            </a:rPr>
            <a:t>本利用ルールは、著作権法上認められている引用などの利用について、制限するものではありません。</a:t>
          </a:r>
          <a:endParaRPr kumimoji="1" lang="ja-JP" altLang="en-US" sz="1100">
            <a:solidFill>
              <a:schemeClr val="tx1"/>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25034-9A31-46AA-B969-C00A2BF7D8AA}">
  <sheetPr>
    <pageSetUpPr fitToPage="1"/>
  </sheetPr>
  <dimension ref="A1:U44"/>
  <sheetViews>
    <sheetView showGridLines="0" view="pageBreakPreview" zoomScaleNormal="100" zoomScaleSheetLayoutView="100" workbookViewId="0">
      <selection activeCell="O9" sqref="O9"/>
    </sheetView>
  </sheetViews>
  <sheetFormatPr defaultColWidth="0" defaultRowHeight="12" customHeight="1" zeroHeight="1" x14ac:dyDescent="0.55000000000000004"/>
  <cols>
    <col min="1" max="21" width="9" style="2" customWidth="1"/>
    <col min="22" max="16384" width="9" style="2" hidden="1"/>
  </cols>
  <sheetData>
    <row r="1" x14ac:dyDescent="0.55000000000000004"/>
    <row r="2" x14ac:dyDescent="0.55000000000000004"/>
    <row r="3" x14ac:dyDescent="0.55000000000000004"/>
    <row r="4" x14ac:dyDescent="0.55000000000000004"/>
    <row r="5" x14ac:dyDescent="0.55000000000000004"/>
    <row r="6" x14ac:dyDescent="0.55000000000000004"/>
    <row r="7" x14ac:dyDescent="0.55000000000000004"/>
    <row r="8" x14ac:dyDescent="0.55000000000000004"/>
    <row r="9" x14ac:dyDescent="0.55000000000000004"/>
    <row r="10" x14ac:dyDescent="0.55000000000000004"/>
    <row r="11" x14ac:dyDescent="0.55000000000000004"/>
    <row r="12" x14ac:dyDescent="0.55000000000000004"/>
    <row r="13" x14ac:dyDescent="0.55000000000000004"/>
    <row r="14" x14ac:dyDescent="0.55000000000000004"/>
    <row r="15" x14ac:dyDescent="0.55000000000000004"/>
    <row r="16" x14ac:dyDescent="0.55000000000000004"/>
    <row r="17" x14ac:dyDescent="0.55000000000000004"/>
    <row r="18" x14ac:dyDescent="0.55000000000000004"/>
    <row r="19" x14ac:dyDescent="0.55000000000000004"/>
    <row r="20" x14ac:dyDescent="0.55000000000000004"/>
    <row r="21" hidden="1" x14ac:dyDescent="0.55000000000000004"/>
    <row r="22" hidden="1" x14ac:dyDescent="0.55000000000000004"/>
    <row r="23" hidden="1" x14ac:dyDescent="0.55000000000000004"/>
    <row r="24" hidden="1" x14ac:dyDescent="0.55000000000000004"/>
    <row r="25" hidden="1" x14ac:dyDescent="0.55000000000000004"/>
    <row r="26" hidden="1" x14ac:dyDescent="0.55000000000000004"/>
    <row r="27" hidden="1" x14ac:dyDescent="0.55000000000000004"/>
    <row r="28" hidden="1" x14ac:dyDescent="0.55000000000000004"/>
    <row r="29" hidden="1" x14ac:dyDescent="0.55000000000000004"/>
    <row r="30" hidden="1" x14ac:dyDescent="0.55000000000000004"/>
    <row r="31" hidden="1" x14ac:dyDescent="0.55000000000000004"/>
    <row r="32" hidden="1" x14ac:dyDescent="0.55000000000000004"/>
    <row r="33" hidden="1" x14ac:dyDescent="0.55000000000000004"/>
    <row r="34" hidden="1" x14ac:dyDescent="0.55000000000000004"/>
    <row r="35" hidden="1" x14ac:dyDescent="0.55000000000000004"/>
    <row r="36" hidden="1" x14ac:dyDescent="0.55000000000000004"/>
    <row r="37" hidden="1" x14ac:dyDescent="0.55000000000000004"/>
    <row r="38" hidden="1" x14ac:dyDescent="0.55000000000000004"/>
    <row r="39" hidden="1" x14ac:dyDescent="0.55000000000000004"/>
    <row r="40" hidden="1" x14ac:dyDescent="0.55000000000000004"/>
    <row r="41" hidden="1" x14ac:dyDescent="0.55000000000000004"/>
    <row r="42" hidden="1" x14ac:dyDescent="0.55000000000000004"/>
    <row r="43" hidden="1" x14ac:dyDescent="0.55000000000000004"/>
    <row r="44" hidden="1" x14ac:dyDescent="0.55000000000000004"/>
  </sheetData>
  <phoneticPr fontId="2"/>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8361F-05B8-4EAA-9215-1708D42B1642}">
  <sheetPr>
    <tabColor rgb="FFFFC000"/>
    <pageSetUpPr fitToPage="1"/>
  </sheetPr>
  <dimension ref="A1:DM191"/>
  <sheetViews>
    <sheetView showGridLines="0" view="pageBreakPreview" zoomScaleNormal="55" zoomScaleSheetLayoutView="100" workbookViewId="0"/>
  </sheetViews>
  <sheetFormatPr defaultColWidth="0" defaultRowHeight="16.5" zeroHeight="1" outlineLevelCol="1" x14ac:dyDescent="0.55000000000000004"/>
  <cols>
    <col min="1" max="1" width="4.83203125" style="21" customWidth="1"/>
    <col min="2" max="2" width="4.25" style="21" customWidth="1"/>
    <col min="3" max="3" width="40.08203125" style="119" bestFit="1" customWidth="1"/>
    <col min="4" max="4" width="7.5" style="276" customWidth="1"/>
    <col min="5" max="6" width="15.08203125" style="21" customWidth="1"/>
    <col min="7" max="7" width="4.58203125" style="21" customWidth="1"/>
    <col min="8" max="8" width="43.75" style="21" customWidth="1"/>
    <col min="9" max="9" width="1.58203125" style="289" customWidth="1"/>
    <col min="10" max="10" width="4.25" style="21" customWidth="1" outlineLevel="1"/>
    <col min="11" max="11" width="12.5" style="119" customWidth="1" outlineLevel="1"/>
    <col min="12" max="12" width="1.83203125" style="21" customWidth="1" outlineLevel="1"/>
    <col min="13" max="13" width="30.83203125" style="21" customWidth="1" outlineLevel="1"/>
    <col min="14" max="14" width="11.25" style="393" customWidth="1" outlineLevel="1"/>
    <col min="15" max="16" width="15.08203125" style="21" customWidth="1" outlineLevel="1"/>
    <col min="17" max="17" width="4.75" style="21" customWidth="1" outlineLevel="1"/>
    <col min="18" max="18" width="10" style="21" customWidth="1" outlineLevel="1"/>
    <col min="19" max="19" width="19.25" style="21" customWidth="1" outlineLevel="1"/>
    <col min="20" max="20" width="7.5" style="21" customWidth="1" outlineLevel="1"/>
    <col min="21" max="21" width="24.5" style="21" customWidth="1" outlineLevel="1"/>
    <col min="22" max="22" width="12" style="21" customWidth="1"/>
    <col min="23" max="23" width="9.58203125" style="21" customWidth="1"/>
    <col min="24" max="24" width="21.5" style="21" customWidth="1"/>
    <col min="25" max="26" width="10.83203125" style="21" customWidth="1"/>
    <col min="27" max="36" width="10.83203125" style="22" customWidth="1"/>
    <col min="37" max="39" width="10.83203125" style="26" customWidth="1"/>
    <col min="40" max="40" width="1.58203125" style="26" customWidth="1"/>
    <col min="41" max="41" width="10.83203125" style="26" customWidth="1"/>
    <col min="42" max="56" width="10.83203125" style="22" customWidth="1"/>
    <col min="57" max="57" width="1.75" style="22" customWidth="1"/>
    <col min="58" max="58" width="10.83203125" style="26" customWidth="1"/>
    <col min="59" max="59" width="1.5" style="22" customWidth="1"/>
    <col min="60" max="74" width="10.83203125" style="22" customWidth="1"/>
    <col min="75" max="75" width="10.83203125" style="22" hidden="1" customWidth="1"/>
    <col min="76" max="76" width="3.33203125" style="22" customWidth="1"/>
    <col min="77" max="79" width="10.83203125" style="24" hidden="1" customWidth="1"/>
    <col min="80" max="80" width="2.58203125" style="22" hidden="1" customWidth="1"/>
    <col min="81" max="81" width="10.83203125" style="24" hidden="1" customWidth="1"/>
    <col min="82" max="86" width="10.83203125" style="22" hidden="1" customWidth="1"/>
    <col min="87" max="88" width="9" style="21" hidden="1" customWidth="1"/>
    <col min="89" max="89" width="9" style="22" hidden="1" customWidth="1"/>
    <col min="90" max="16384" width="9" style="21" hidden="1"/>
  </cols>
  <sheetData>
    <row r="1" spans="1:117" ht="15.75" customHeight="1" x14ac:dyDescent="0.55000000000000004">
      <c r="CB1" s="24"/>
    </row>
    <row r="2" spans="1:117" ht="26" x14ac:dyDescent="0.55000000000000004">
      <c r="A2" s="207"/>
      <c r="B2" s="223"/>
      <c r="C2" s="337" t="s">
        <v>312</v>
      </c>
      <c r="D2" s="400"/>
      <c r="I2" s="214"/>
      <c r="J2" s="223"/>
      <c r="N2" s="191"/>
      <c r="T2" s="191"/>
      <c r="V2" s="289"/>
      <c r="W2" s="310" t="s">
        <v>313</v>
      </c>
      <c r="Y2" s="23"/>
      <c r="Z2" s="23"/>
      <c r="AA2" s="24"/>
      <c r="AB2" s="24"/>
      <c r="AC2" s="24"/>
      <c r="AD2" s="24"/>
      <c r="AE2" s="24"/>
      <c r="AF2" s="24"/>
      <c r="AG2" s="24"/>
      <c r="AH2" s="24"/>
      <c r="AI2" s="24"/>
      <c r="AJ2" s="24"/>
      <c r="AK2" s="24"/>
      <c r="AL2" s="24"/>
      <c r="AM2" s="25"/>
      <c r="AN2" s="25"/>
      <c r="AP2" s="25"/>
      <c r="AQ2" s="24"/>
      <c r="AR2" s="24"/>
      <c r="AS2" s="24"/>
      <c r="AT2" s="24"/>
      <c r="AU2" s="24"/>
      <c r="AV2" s="24"/>
      <c r="AW2" s="24"/>
      <c r="AX2" s="24"/>
      <c r="AY2" s="24"/>
      <c r="AZ2" s="24"/>
      <c r="BA2" s="24"/>
      <c r="BB2" s="24"/>
      <c r="BC2" s="24"/>
      <c r="BD2" s="24"/>
      <c r="BE2" s="24"/>
      <c r="BF2" s="24"/>
      <c r="BH2" s="26"/>
      <c r="BJ2" s="24"/>
      <c r="BK2" s="24"/>
      <c r="BL2" s="24"/>
      <c r="BM2" s="24"/>
      <c r="BN2" s="24"/>
      <c r="BO2" s="24"/>
      <c r="BP2" s="24"/>
      <c r="BQ2" s="24"/>
      <c r="BR2" s="24"/>
      <c r="BS2" s="24"/>
      <c r="BT2" s="24"/>
      <c r="BU2" s="24"/>
      <c r="BV2" s="24"/>
      <c r="BW2" s="24"/>
      <c r="BX2" s="24"/>
      <c r="CB2" s="24"/>
      <c r="CK2" s="24"/>
      <c r="CL2" s="24"/>
      <c r="CM2" s="24"/>
      <c r="CN2" s="22"/>
      <c r="CO2" s="24"/>
      <c r="CP2" s="24"/>
      <c r="CQ2" s="24"/>
      <c r="CR2" s="24"/>
      <c r="CS2" s="24"/>
      <c r="CT2" s="22"/>
      <c r="CU2" s="24"/>
      <c r="CV2" s="24"/>
      <c r="CW2" s="22"/>
      <c r="CX2" s="22"/>
      <c r="CY2" s="22"/>
      <c r="CZ2" s="22"/>
      <c r="DA2" s="22"/>
    </row>
    <row r="3" spans="1:117" ht="18" customHeight="1" x14ac:dyDescent="0.55000000000000004">
      <c r="A3" s="207"/>
      <c r="B3" s="223"/>
      <c r="C3" s="312" t="s">
        <v>78</v>
      </c>
      <c r="D3" s="400"/>
      <c r="I3" s="214"/>
      <c r="J3" s="223"/>
      <c r="N3" s="191"/>
      <c r="T3" s="191"/>
      <c r="V3" s="289"/>
      <c r="W3" s="310"/>
      <c r="Y3" s="23"/>
      <c r="Z3" s="23"/>
      <c r="AA3" s="24"/>
      <c r="AB3" s="24"/>
      <c r="AC3" s="24"/>
      <c r="AD3" s="24"/>
      <c r="AE3" s="24"/>
      <c r="AF3" s="24"/>
      <c r="AG3" s="24"/>
      <c r="AH3" s="24"/>
      <c r="AI3" s="24"/>
      <c r="AJ3" s="24"/>
      <c r="AK3" s="24"/>
      <c r="AL3" s="24"/>
      <c r="AM3" s="24"/>
      <c r="AN3" s="24"/>
      <c r="AO3" s="24"/>
      <c r="AP3" s="24"/>
      <c r="AQ3" s="24"/>
      <c r="AR3" s="24"/>
      <c r="AS3" s="25"/>
      <c r="AT3" s="25"/>
      <c r="AU3" s="26"/>
      <c r="AV3" s="25"/>
      <c r="AW3" s="24"/>
      <c r="AX3" s="24"/>
      <c r="AY3" s="24"/>
      <c r="AZ3" s="24"/>
      <c r="BA3" s="24"/>
      <c r="BB3" s="24"/>
      <c r="BC3" s="24"/>
      <c r="BD3" s="24"/>
      <c r="BE3" s="24"/>
      <c r="BF3" s="24"/>
      <c r="BG3" s="24"/>
      <c r="BH3" s="24"/>
      <c r="BI3" s="24"/>
      <c r="BJ3" s="24"/>
      <c r="BK3" s="24"/>
      <c r="BL3" s="24"/>
      <c r="BM3" s="24"/>
      <c r="BN3" s="24"/>
      <c r="BO3" s="24"/>
      <c r="BP3" s="24"/>
      <c r="BQ3" s="24"/>
      <c r="BR3" s="24"/>
      <c r="BT3" s="26"/>
      <c r="BV3" s="24"/>
      <c r="BW3" s="24"/>
      <c r="BX3" s="24"/>
      <c r="CB3" s="24"/>
      <c r="CD3" s="24"/>
      <c r="CE3" s="24"/>
      <c r="CF3" s="24"/>
      <c r="CH3" s="24"/>
      <c r="CI3" s="24"/>
      <c r="CJ3" s="24"/>
      <c r="CK3" s="24"/>
      <c r="CL3" s="24"/>
      <c r="CM3" s="24"/>
      <c r="CN3" s="24"/>
      <c r="CO3" s="24"/>
      <c r="CP3" s="24"/>
      <c r="CQ3" s="24"/>
      <c r="CR3" s="24"/>
      <c r="CS3" s="24"/>
      <c r="CT3" s="24"/>
      <c r="CU3" s="24"/>
      <c r="CV3" s="24"/>
      <c r="CW3" s="24"/>
      <c r="CX3" s="24"/>
      <c r="CY3" s="24"/>
      <c r="CZ3" s="22"/>
      <c r="DA3" s="24"/>
      <c r="DB3" s="24"/>
      <c r="DC3" s="24"/>
      <c r="DD3" s="24"/>
      <c r="DE3" s="24"/>
      <c r="DF3" s="22"/>
      <c r="DG3" s="24"/>
      <c r="DH3" s="24"/>
      <c r="DI3" s="22"/>
      <c r="DJ3" s="22"/>
      <c r="DK3" s="22"/>
      <c r="DL3" s="22"/>
      <c r="DM3" s="22"/>
    </row>
    <row r="4" spans="1:117" ht="18" customHeight="1" x14ac:dyDescent="0.45">
      <c r="A4" s="207"/>
      <c r="B4" s="223"/>
      <c r="C4" s="339" t="s">
        <v>79</v>
      </c>
      <c r="D4" s="400"/>
      <c r="I4" s="214"/>
      <c r="J4" s="223"/>
      <c r="N4" s="191"/>
      <c r="T4" s="191"/>
      <c r="V4" s="289"/>
      <c r="W4" s="310"/>
      <c r="Y4" s="23"/>
      <c r="Z4" s="23"/>
      <c r="AA4" s="24"/>
      <c r="AB4" s="24"/>
      <c r="AC4" s="24"/>
      <c r="AD4" s="24"/>
      <c r="AE4" s="24"/>
      <c r="AF4" s="24"/>
      <c r="AG4" s="24"/>
      <c r="AH4" s="24"/>
      <c r="AI4" s="24"/>
      <c r="AJ4" s="24"/>
      <c r="AK4" s="24"/>
      <c r="AL4" s="24"/>
      <c r="AM4" s="24"/>
      <c r="AN4" s="24"/>
      <c r="AO4" s="24"/>
      <c r="AP4" s="24"/>
      <c r="AQ4" s="24"/>
      <c r="AR4" s="24"/>
      <c r="AS4" s="25"/>
      <c r="AT4" s="25"/>
      <c r="AU4" s="26"/>
      <c r="AV4" s="25"/>
      <c r="AW4" s="24"/>
      <c r="AX4" s="24"/>
      <c r="AY4" s="24"/>
      <c r="AZ4" s="24"/>
      <c r="BA4" s="24"/>
      <c r="BB4" s="24"/>
      <c r="BC4" s="24"/>
      <c r="BD4" s="24"/>
      <c r="BE4" s="24"/>
      <c r="BF4" s="24"/>
      <c r="BG4" s="24"/>
      <c r="BH4" s="24"/>
      <c r="BI4" s="24"/>
      <c r="BJ4" s="24"/>
      <c r="BK4" s="24"/>
      <c r="BL4" s="24"/>
      <c r="BM4" s="24"/>
      <c r="BN4" s="24"/>
      <c r="BO4" s="24"/>
      <c r="BP4" s="24"/>
      <c r="BQ4" s="24"/>
      <c r="BR4" s="24"/>
      <c r="BT4" s="26"/>
      <c r="BV4" s="24"/>
      <c r="BW4" s="24"/>
      <c r="BX4" s="24"/>
      <c r="CB4" s="24"/>
      <c r="CD4" s="24"/>
      <c r="CE4" s="24"/>
      <c r="CF4" s="24"/>
      <c r="CH4" s="24"/>
      <c r="CI4" s="24"/>
      <c r="CJ4" s="24"/>
      <c r="CK4" s="24"/>
      <c r="CL4" s="24"/>
      <c r="CM4" s="24"/>
      <c r="CN4" s="24"/>
      <c r="CO4" s="24"/>
      <c r="CP4" s="24"/>
      <c r="CQ4" s="24"/>
      <c r="CR4" s="24"/>
      <c r="CS4" s="24"/>
      <c r="CT4" s="24"/>
      <c r="CU4" s="24"/>
      <c r="CV4" s="24"/>
      <c r="CW4" s="24"/>
      <c r="CX4" s="24"/>
      <c r="CY4" s="24"/>
      <c r="CZ4" s="22"/>
      <c r="DA4" s="24"/>
      <c r="DB4" s="24"/>
      <c r="DC4" s="24"/>
      <c r="DD4" s="24"/>
      <c r="DE4" s="24"/>
      <c r="DF4" s="22"/>
      <c r="DG4" s="24"/>
      <c r="DH4" s="24"/>
      <c r="DI4" s="22"/>
      <c r="DJ4" s="22"/>
      <c r="DK4" s="22"/>
      <c r="DL4" s="22"/>
      <c r="DM4" s="22"/>
    </row>
    <row r="5" spans="1:117" ht="18" customHeight="1" x14ac:dyDescent="0.45">
      <c r="A5" s="207"/>
      <c r="B5" s="223"/>
      <c r="C5" s="340" t="s">
        <v>80</v>
      </c>
      <c r="D5" s="400"/>
      <c r="I5" s="214"/>
      <c r="J5" s="223"/>
      <c r="N5" s="191"/>
      <c r="T5" s="191"/>
      <c r="V5" s="289"/>
      <c r="W5" s="310"/>
      <c r="Y5" s="23"/>
      <c r="Z5" s="23"/>
      <c r="AA5" s="24"/>
      <c r="AB5" s="24"/>
      <c r="AC5" s="24"/>
      <c r="AD5" s="24"/>
      <c r="AE5" s="24"/>
      <c r="AF5" s="24"/>
      <c r="AG5" s="24"/>
      <c r="AH5" s="24"/>
      <c r="AI5" s="24"/>
      <c r="AJ5" s="24"/>
      <c r="AK5" s="24"/>
      <c r="AL5" s="24"/>
      <c r="AM5" s="24"/>
      <c r="AN5" s="24"/>
      <c r="AO5" s="24"/>
      <c r="AP5" s="24"/>
      <c r="AQ5" s="24"/>
      <c r="AR5" s="24"/>
      <c r="AS5" s="25"/>
      <c r="AT5" s="25"/>
      <c r="AU5" s="26"/>
      <c r="AV5" s="25"/>
      <c r="AW5" s="24"/>
      <c r="AX5" s="24"/>
      <c r="AY5" s="24"/>
      <c r="AZ5" s="24"/>
      <c r="BA5" s="24"/>
      <c r="BB5" s="24"/>
      <c r="BC5" s="24"/>
      <c r="BD5" s="24"/>
      <c r="BE5" s="24"/>
      <c r="BF5" s="24"/>
      <c r="BG5" s="24"/>
      <c r="BH5" s="24"/>
      <c r="BI5" s="24"/>
      <c r="BJ5" s="24"/>
      <c r="BK5" s="24"/>
      <c r="BL5" s="24"/>
      <c r="BM5" s="24"/>
      <c r="BN5" s="24"/>
      <c r="BO5" s="24"/>
      <c r="BP5" s="24"/>
      <c r="BQ5" s="24"/>
      <c r="BR5" s="24"/>
      <c r="BT5" s="26"/>
      <c r="BV5" s="24"/>
      <c r="BW5" s="24"/>
      <c r="BX5" s="24"/>
      <c r="CB5" s="24"/>
      <c r="CD5" s="24"/>
      <c r="CE5" s="24"/>
      <c r="CF5" s="24"/>
      <c r="CH5" s="24"/>
      <c r="CI5" s="24"/>
      <c r="CJ5" s="24"/>
      <c r="CK5" s="24"/>
      <c r="CL5" s="24"/>
      <c r="CM5" s="24"/>
      <c r="CN5" s="24"/>
      <c r="CO5" s="24"/>
      <c r="CP5" s="24"/>
      <c r="CQ5" s="24"/>
      <c r="CR5" s="24"/>
      <c r="CS5" s="24"/>
      <c r="CT5" s="24"/>
      <c r="CU5" s="24"/>
      <c r="CV5" s="24"/>
      <c r="CW5" s="24"/>
      <c r="CX5" s="24"/>
      <c r="CY5" s="24"/>
      <c r="CZ5" s="22"/>
      <c r="DA5" s="24"/>
      <c r="DB5" s="24"/>
      <c r="DC5" s="24"/>
      <c r="DD5" s="24"/>
      <c r="DE5" s="24"/>
      <c r="DF5" s="22"/>
      <c r="DG5" s="24"/>
      <c r="DH5" s="24"/>
      <c r="DI5" s="22"/>
      <c r="DJ5" s="22"/>
      <c r="DK5" s="22"/>
      <c r="DL5" s="22"/>
      <c r="DM5" s="22"/>
    </row>
    <row r="6" spans="1:117" ht="18" customHeight="1" x14ac:dyDescent="0.45">
      <c r="A6" s="207"/>
      <c r="B6" s="223"/>
      <c r="C6" s="341" t="s">
        <v>81</v>
      </c>
      <c r="D6" s="400"/>
      <c r="I6" s="214"/>
      <c r="J6" s="223"/>
      <c r="N6" s="191"/>
      <c r="T6" s="191"/>
      <c r="V6" s="289"/>
      <c r="W6" s="310"/>
      <c r="Y6" s="23"/>
      <c r="Z6" s="23"/>
      <c r="AA6" s="24"/>
      <c r="AB6" s="24"/>
      <c r="AC6" s="24"/>
      <c r="AD6" s="24"/>
      <c r="AE6" s="24"/>
      <c r="AF6" s="24"/>
      <c r="AG6" s="24"/>
      <c r="AH6" s="24"/>
      <c r="AI6" s="24"/>
      <c r="AJ6" s="24"/>
      <c r="AK6" s="24"/>
      <c r="AL6" s="24"/>
      <c r="AM6" s="24"/>
      <c r="AN6" s="24"/>
      <c r="AO6" s="24"/>
      <c r="AP6" s="24"/>
      <c r="AQ6" s="24"/>
      <c r="AR6" s="24"/>
      <c r="AS6" s="25"/>
      <c r="AT6" s="25"/>
      <c r="AU6" s="26"/>
      <c r="AV6" s="25"/>
      <c r="AW6" s="24"/>
      <c r="AX6" s="24"/>
      <c r="AY6" s="24"/>
      <c r="AZ6" s="24"/>
      <c r="BA6" s="24"/>
      <c r="BB6" s="24"/>
      <c r="BC6" s="24"/>
      <c r="BD6" s="24"/>
      <c r="BE6" s="24"/>
      <c r="BF6" s="24"/>
      <c r="BG6" s="24"/>
      <c r="BH6" s="24"/>
      <c r="BI6" s="24"/>
      <c r="BJ6" s="24"/>
      <c r="BK6" s="24"/>
      <c r="BL6" s="24"/>
      <c r="BM6" s="24"/>
      <c r="BN6" s="24"/>
      <c r="BO6" s="24"/>
      <c r="BP6" s="24"/>
      <c r="BQ6" s="24"/>
      <c r="BR6" s="24"/>
      <c r="BT6" s="26"/>
      <c r="BV6" s="24"/>
      <c r="BW6" s="24"/>
      <c r="BX6" s="24"/>
      <c r="CB6" s="24"/>
      <c r="CD6" s="24"/>
      <c r="CE6" s="24"/>
      <c r="CF6" s="24"/>
      <c r="CH6" s="24"/>
      <c r="CI6" s="24"/>
      <c r="CJ6" s="24"/>
      <c r="CK6" s="24"/>
      <c r="CL6" s="24"/>
      <c r="CM6" s="24"/>
      <c r="CN6" s="24"/>
      <c r="CO6" s="24"/>
      <c r="CP6" s="24"/>
      <c r="CQ6" s="24"/>
      <c r="CR6" s="24"/>
      <c r="CS6" s="24"/>
      <c r="CT6" s="24"/>
      <c r="CU6" s="24"/>
      <c r="CV6" s="24"/>
      <c r="CW6" s="24"/>
      <c r="CX6" s="24"/>
      <c r="CY6" s="24"/>
      <c r="CZ6" s="22"/>
      <c r="DA6" s="24"/>
      <c r="DB6" s="24"/>
      <c r="DC6" s="24"/>
      <c r="DD6" s="24"/>
      <c r="DE6" s="24"/>
      <c r="DF6" s="22"/>
      <c r="DG6" s="24"/>
      <c r="DH6" s="24"/>
      <c r="DI6" s="22"/>
      <c r="DJ6" s="22"/>
      <c r="DK6" s="22"/>
      <c r="DL6" s="22"/>
      <c r="DM6" s="22"/>
    </row>
    <row r="7" spans="1:117" ht="15.75" customHeight="1" x14ac:dyDescent="0.55000000000000004">
      <c r="D7" s="400"/>
      <c r="N7" s="191"/>
      <c r="T7" s="191"/>
      <c r="V7" s="289"/>
      <c r="Y7" s="23"/>
      <c r="Z7" s="23"/>
      <c r="AA7" s="24"/>
      <c r="AB7" s="24"/>
      <c r="AC7" s="24"/>
      <c r="AD7" s="24"/>
      <c r="AE7" s="24"/>
      <c r="AF7" s="24"/>
      <c r="AG7" s="24"/>
      <c r="AH7" s="24"/>
      <c r="AI7" s="24"/>
      <c r="AJ7" s="24"/>
      <c r="AK7" s="25"/>
      <c r="AL7" s="25"/>
      <c r="AM7" s="25"/>
      <c r="AO7" s="25"/>
      <c r="AP7" s="24"/>
      <c r="AQ7" s="24"/>
      <c r="AR7" s="24"/>
      <c r="AS7" s="24"/>
      <c r="AT7" s="24"/>
      <c r="AU7" s="24"/>
      <c r="AV7" s="24"/>
      <c r="AW7" s="24"/>
      <c r="AX7" s="24"/>
      <c r="AY7" s="24"/>
      <c r="AZ7" s="24"/>
      <c r="BA7" s="24"/>
      <c r="BB7" s="24"/>
      <c r="BC7" s="24"/>
      <c r="BD7" s="24"/>
      <c r="BH7" s="24"/>
      <c r="BI7" s="24"/>
      <c r="BJ7" s="24"/>
      <c r="BK7" s="24"/>
      <c r="BL7" s="24"/>
      <c r="BM7" s="24"/>
      <c r="BN7" s="24"/>
      <c r="BO7" s="24"/>
      <c r="BP7" s="24"/>
      <c r="BQ7" s="24"/>
      <c r="BR7" s="24"/>
      <c r="BS7" s="24"/>
      <c r="BT7" s="24"/>
      <c r="BU7" s="24"/>
      <c r="BV7" s="24"/>
    </row>
    <row r="8" spans="1:117" s="35" customFormat="1" ht="15.75" customHeight="1" x14ac:dyDescent="0.55000000000000004">
      <c r="A8" s="27" t="s">
        <v>82</v>
      </c>
      <c r="B8" s="27"/>
      <c r="C8" s="342"/>
      <c r="D8" s="401"/>
      <c r="E8" s="27"/>
      <c r="F8" s="27"/>
      <c r="G8" s="27"/>
      <c r="H8" s="27"/>
      <c r="I8" s="336"/>
      <c r="J8" s="28" t="s">
        <v>83</v>
      </c>
      <c r="K8" s="343"/>
      <c r="L8" s="28"/>
      <c r="M8" s="28"/>
      <c r="N8" s="394"/>
      <c r="O8" s="28"/>
      <c r="P8" s="28"/>
      <c r="Q8" s="28"/>
      <c r="R8" s="28"/>
      <c r="S8" s="28"/>
      <c r="T8" s="28"/>
      <c r="U8" s="28"/>
      <c r="V8" s="29" t="s">
        <v>84</v>
      </c>
      <c r="W8" s="29"/>
      <c r="X8" s="29"/>
      <c r="Y8" s="29"/>
      <c r="Z8" s="29"/>
      <c r="AA8" s="34"/>
      <c r="AB8" s="34"/>
      <c r="AC8" s="34"/>
      <c r="AD8" s="34"/>
      <c r="AE8" s="34"/>
      <c r="AF8" s="34"/>
      <c r="AG8" s="34"/>
      <c r="AH8" s="34"/>
      <c r="AI8" s="34"/>
      <c r="AJ8" s="34"/>
      <c r="AK8" s="33"/>
      <c r="AL8" s="33"/>
      <c r="AM8" s="33"/>
      <c r="AN8" s="33"/>
      <c r="AO8" s="33"/>
      <c r="AP8" s="34"/>
      <c r="AQ8" s="34"/>
      <c r="AR8" s="34"/>
      <c r="AS8" s="34"/>
      <c r="AT8" s="34"/>
      <c r="AU8" s="34"/>
      <c r="AV8" s="34"/>
      <c r="AW8" s="34"/>
      <c r="AX8" s="34"/>
      <c r="AY8" s="34"/>
      <c r="AZ8" s="34"/>
      <c r="BA8" s="34"/>
      <c r="BB8" s="34"/>
      <c r="BC8" s="34"/>
      <c r="BD8" s="34"/>
      <c r="BE8" s="34"/>
      <c r="BF8" s="33"/>
      <c r="BG8" s="34"/>
      <c r="BH8" s="34"/>
      <c r="BI8" s="34"/>
      <c r="BJ8" s="34"/>
      <c r="BK8" s="34"/>
      <c r="BL8" s="34"/>
      <c r="BM8" s="34"/>
      <c r="BN8" s="34"/>
      <c r="BO8" s="34"/>
      <c r="BP8" s="34"/>
      <c r="BQ8" s="34"/>
      <c r="BR8" s="34"/>
      <c r="BS8" s="34"/>
      <c r="BT8" s="34"/>
      <c r="BU8" s="34"/>
      <c r="BV8" s="34"/>
      <c r="BW8" s="34"/>
      <c r="BX8" s="34"/>
      <c r="BY8" s="31"/>
      <c r="BZ8" s="31"/>
      <c r="CA8" s="31"/>
      <c r="CB8" s="34"/>
      <c r="CC8" s="31"/>
      <c r="CD8" s="34"/>
      <c r="CE8" s="34"/>
      <c r="CF8" s="34"/>
      <c r="CG8" s="34"/>
      <c r="CH8" s="34"/>
      <c r="CI8" s="34"/>
      <c r="CJ8" s="34"/>
      <c r="CK8" s="34"/>
    </row>
    <row r="9" spans="1:117" s="35" customFormat="1" ht="15.75" customHeight="1" x14ac:dyDescent="0.55000000000000004">
      <c r="A9" s="36"/>
      <c r="B9" s="36"/>
      <c r="C9" s="344" t="s">
        <v>85</v>
      </c>
      <c r="D9" s="402"/>
      <c r="E9" s="36"/>
      <c r="F9" s="36"/>
      <c r="G9" s="36"/>
      <c r="H9" s="36"/>
      <c r="I9" s="330"/>
      <c r="K9" s="312"/>
      <c r="N9" s="395"/>
      <c r="AA9" s="37"/>
      <c r="AB9" s="37"/>
      <c r="AC9" s="37"/>
      <c r="AD9" s="37"/>
      <c r="AE9" s="37"/>
      <c r="AF9" s="37"/>
      <c r="AG9" s="37"/>
      <c r="AH9" s="37"/>
      <c r="AI9" s="37"/>
      <c r="AJ9" s="37"/>
      <c r="AK9" s="41"/>
      <c r="AL9" s="41"/>
      <c r="AM9" s="41"/>
      <c r="AN9" s="41"/>
      <c r="AO9" s="41"/>
      <c r="AP9" s="37"/>
      <c r="AQ9" s="37"/>
      <c r="AR9" s="37"/>
      <c r="AS9" s="37"/>
      <c r="AT9" s="37"/>
      <c r="AU9" s="37"/>
      <c r="AV9" s="37"/>
      <c r="AW9" s="37"/>
      <c r="AX9" s="37"/>
      <c r="AY9" s="37"/>
      <c r="AZ9" s="37"/>
      <c r="BA9" s="37"/>
      <c r="BB9" s="37"/>
      <c r="BC9" s="37"/>
      <c r="BD9" s="37"/>
      <c r="BE9" s="37"/>
      <c r="BF9" s="41"/>
      <c r="BG9" s="37"/>
      <c r="BH9" s="37"/>
      <c r="BI9" s="37"/>
      <c r="BJ9" s="37"/>
      <c r="BK9" s="37"/>
      <c r="BL9" s="37"/>
      <c r="BM9" s="37"/>
      <c r="BN9" s="37"/>
      <c r="BO9" s="37"/>
      <c r="BP9" s="37"/>
      <c r="BQ9" s="37"/>
      <c r="BR9" s="37"/>
      <c r="BS9" s="37"/>
      <c r="BT9" s="37"/>
      <c r="BU9" s="37"/>
      <c r="BV9" s="37"/>
      <c r="BW9" s="37"/>
      <c r="BX9" s="37"/>
      <c r="BY9" s="39"/>
      <c r="BZ9" s="39"/>
      <c r="CA9" s="39"/>
      <c r="CB9" s="37"/>
      <c r="CC9" s="39"/>
      <c r="CD9" s="37"/>
      <c r="CE9" s="37"/>
      <c r="CF9" s="37"/>
      <c r="CG9" s="37"/>
      <c r="CH9" s="37"/>
      <c r="CK9" s="37"/>
    </row>
    <row r="10" spans="1:117" ht="15.75" customHeight="1" thickBot="1" x14ac:dyDescent="0.6">
      <c r="W10" s="439" t="s">
        <v>48</v>
      </c>
      <c r="X10" s="439"/>
      <c r="Y10" s="440"/>
      <c r="AC10" s="45" t="s">
        <v>86</v>
      </c>
      <c r="AD10" s="24"/>
    </row>
    <row r="11" spans="1:117" ht="15.75" customHeight="1" x14ac:dyDescent="0.55000000000000004">
      <c r="A11" s="207"/>
      <c r="B11" s="223"/>
      <c r="C11" s="312"/>
      <c r="D11" s="403" t="s">
        <v>87</v>
      </c>
      <c r="E11" s="35" t="s">
        <v>55</v>
      </c>
      <c r="F11" s="35" t="s">
        <v>88</v>
      </c>
      <c r="G11" s="35" t="s">
        <v>89</v>
      </c>
      <c r="H11" s="35"/>
      <c r="I11" s="214"/>
      <c r="J11" s="223"/>
      <c r="K11" s="312"/>
      <c r="L11" s="37"/>
      <c r="M11" s="37"/>
      <c r="N11" s="193" t="s">
        <v>87</v>
      </c>
      <c r="O11" s="35" t="s">
        <v>55</v>
      </c>
      <c r="P11" s="35" t="s">
        <v>88</v>
      </c>
      <c r="Q11" s="35" t="s">
        <v>89</v>
      </c>
      <c r="R11" s="22"/>
      <c r="S11" s="22"/>
      <c r="T11" s="191"/>
      <c r="U11" s="22"/>
      <c r="W11" s="46" t="s">
        <v>48</v>
      </c>
      <c r="X11" s="200" t="s">
        <v>90</v>
      </c>
      <c r="Y11" s="47" t="s">
        <v>25</v>
      </c>
      <c r="AC11" s="285" t="s">
        <v>52</v>
      </c>
      <c r="AD11" s="286" t="s">
        <v>278</v>
      </c>
      <c r="AE11" s="119" t="s">
        <v>279</v>
      </c>
      <c r="BQ11" s="37"/>
      <c r="BR11" s="37"/>
      <c r="BS11" s="37"/>
      <c r="BT11" s="37"/>
      <c r="BW11" s="37"/>
      <c r="BY11" s="39"/>
      <c r="BZ11" s="39"/>
      <c r="CA11" s="39"/>
      <c r="CC11" s="39"/>
    </row>
    <row r="12" spans="1:117" ht="15.75" customHeight="1" thickBot="1" x14ac:dyDescent="0.6">
      <c r="A12" s="210" t="s">
        <v>91</v>
      </c>
      <c r="B12" s="225"/>
      <c r="C12" s="338"/>
      <c r="D12" s="404"/>
      <c r="E12" s="202"/>
      <c r="F12" s="202"/>
      <c r="G12" s="202"/>
      <c r="H12" s="202"/>
      <c r="I12" s="217" t="s">
        <v>91</v>
      </c>
      <c r="J12" s="225"/>
      <c r="K12" s="338"/>
      <c r="L12" s="202"/>
      <c r="M12" s="202"/>
      <c r="N12" s="203"/>
      <c r="O12" s="202"/>
      <c r="P12" s="202"/>
      <c r="Q12" s="202"/>
      <c r="R12" s="202"/>
      <c r="S12" s="202"/>
      <c r="T12" s="203"/>
      <c r="U12" s="202"/>
      <c r="W12" s="49">
        <f>AL49-BC49</f>
        <v>756.99553339687782</v>
      </c>
      <c r="X12" s="50">
        <f>AM49-BD49</f>
        <v>-111.03818409798441</v>
      </c>
      <c r="Y12" s="347">
        <f>X12/AM49</f>
        <v>4.5008875575013943E-2</v>
      </c>
      <c r="AC12" s="287">
        <f>XIRR(BV18:BV47,V18:V47)</f>
        <v>2.0256146788597114E-2</v>
      </c>
      <c r="AD12" s="303">
        <f>XIRR(CJ18:CJ48,V18:V48)</f>
        <v>6.4162871241569497E-2</v>
      </c>
      <c r="AE12" s="313">
        <f>P86</f>
        <v>2.7833999999999998E-2</v>
      </c>
      <c r="BQ12" s="37"/>
      <c r="BR12" s="37"/>
      <c r="BS12" s="37"/>
      <c r="BT12" s="37"/>
      <c r="BW12" s="37"/>
      <c r="BY12" s="39"/>
      <c r="BZ12" s="39"/>
      <c r="CA12" s="39"/>
      <c r="CC12" s="39"/>
      <c r="CG12" s="22" t="s">
        <v>280</v>
      </c>
    </row>
    <row r="13" spans="1:117" ht="15.75" customHeight="1" x14ac:dyDescent="0.25">
      <c r="AA13" s="21"/>
      <c r="AB13" s="21"/>
      <c r="AC13" s="119" t="s">
        <v>281</v>
      </c>
      <c r="AD13" s="21"/>
      <c r="CG13" s="298">
        <f>IF(MIN(CG18:CG47)&lt;-0.1, 1, 0)</f>
        <v>0</v>
      </c>
    </row>
    <row r="14" spans="1:117" ht="15.75" customHeight="1" x14ac:dyDescent="0.45">
      <c r="B14" s="223" t="s">
        <v>93</v>
      </c>
      <c r="F14" s="149" t="s">
        <v>94</v>
      </c>
      <c r="J14" s="223" t="s">
        <v>93</v>
      </c>
      <c r="O14" s="21" t="s">
        <v>95</v>
      </c>
      <c r="P14" s="21" t="s">
        <v>96</v>
      </c>
      <c r="Q14" s="21" t="s">
        <v>94</v>
      </c>
      <c r="V14" s="37"/>
      <c r="W14" s="37"/>
      <c r="X14" s="37"/>
      <c r="Y14" s="53" t="s">
        <v>55</v>
      </c>
      <c r="Z14" s="54"/>
      <c r="AA14" s="54"/>
      <c r="AB14" s="54"/>
      <c r="AC14" s="54"/>
      <c r="AD14" s="54"/>
      <c r="AE14" s="54"/>
      <c r="AF14" s="54"/>
      <c r="AG14" s="54"/>
      <c r="AH14" s="54"/>
      <c r="AI14" s="54"/>
      <c r="AJ14" s="55"/>
      <c r="AK14" s="56" t="s">
        <v>97</v>
      </c>
      <c r="AL14" s="349"/>
      <c r="AM14" s="58"/>
      <c r="AN14" s="39"/>
      <c r="AO14" s="350" t="s">
        <v>98</v>
      </c>
      <c r="AP14" s="351"/>
      <c r="AQ14" s="351"/>
      <c r="AR14" s="351"/>
      <c r="AS14" s="351"/>
      <c r="AT14" s="351"/>
      <c r="AU14" s="351"/>
      <c r="AV14" s="351"/>
      <c r="AW14" s="351"/>
      <c r="AX14" s="351"/>
      <c r="AY14" s="351"/>
      <c r="AZ14" s="351"/>
      <c r="BA14" s="351"/>
      <c r="BB14" s="351"/>
      <c r="BC14" s="352"/>
      <c r="BD14" s="61" t="s">
        <v>50</v>
      </c>
      <c r="BE14" s="24"/>
      <c r="BF14" s="22"/>
      <c r="BH14" s="62" t="s">
        <v>99</v>
      </c>
      <c r="BI14" s="63"/>
      <c r="BJ14" s="63"/>
      <c r="BK14" s="63"/>
      <c r="BL14" s="63"/>
      <c r="BM14" s="63"/>
      <c r="BN14" s="63"/>
      <c r="BO14" s="63"/>
      <c r="BP14" s="63"/>
      <c r="BQ14" s="63"/>
      <c r="BR14" s="63"/>
      <c r="BS14" s="63"/>
      <c r="BT14" s="63"/>
      <c r="BU14" s="63"/>
      <c r="BV14" s="64"/>
      <c r="BW14" s="45"/>
      <c r="BY14" s="237" t="s">
        <v>314</v>
      </c>
      <c r="BZ14" s="237"/>
      <c r="CA14" s="236"/>
      <c r="CC14" s="236"/>
      <c r="CD14" s="236"/>
      <c r="CE14" s="236"/>
      <c r="CF14" s="236"/>
      <c r="CG14" s="236"/>
      <c r="CH14" s="236"/>
      <c r="CI14" s="236"/>
      <c r="CJ14" s="236"/>
    </row>
    <row r="15" spans="1:117" ht="15.75" customHeight="1" x14ac:dyDescent="0.45">
      <c r="B15" s="223" t="s">
        <v>101</v>
      </c>
      <c r="D15" s="276" t="s">
        <v>102</v>
      </c>
      <c r="F15" s="329" t="s">
        <v>315</v>
      </c>
      <c r="J15" s="223"/>
      <c r="Y15" s="53" t="s">
        <v>104</v>
      </c>
      <c r="Z15" s="54"/>
      <c r="AA15" s="54"/>
      <c r="AB15" s="54"/>
      <c r="AC15" s="66"/>
      <c r="AD15" s="53" t="s">
        <v>105</v>
      </c>
      <c r="AE15" s="54"/>
      <c r="AF15" s="54"/>
      <c r="AG15" s="54"/>
      <c r="AH15" s="54"/>
      <c r="AI15" s="67"/>
      <c r="AJ15" s="353" t="s">
        <v>50</v>
      </c>
      <c r="AK15" s="58"/>
      <c r="AL15" s="68"/>
      <c r="AM15" s="69" t="s">
        <v>50</v>
      </c>
      <c r="AN15" s="39"/>
      <c r="AO15" s="59" t="s">
        <v>104</v>
      </c>
      <c r="AP15" s="60"/>
      <c r="AQ15" s="60"/>
      <c r="AR15" s="60"/>
      <c r="AS15" s="70"/>
      <c r="AT15" s="60" t="s">
        <v>105</v>
      </c>
      <c r="AU15" s="60"/>
      <c r="AV15" s="60"/>
      <c r="AW15" s="60"/>
      <c r="AX15" s="60"/>
      <c r="AY15" s="60"/>
      <c r="AZ15" s="60"/>
      <c r="BA15" s="60"/>
      <c r="BB15" s="70"/>
      <c r="BC15" s="71" t="s">
        <v>50</v>
      </c>
      <c r="BD15" s="71" t="s">
        <v>106</v>
      </c>
      <c r="BE15" s="24"/>
      <c r="BF15" s="22"/>
      <c r="BH15" s="62" t="s">
        <v>104</v>
      </c>
      <c r="BI15" s="63"/>
      <c r="BJ15" s="63"/>
      <c r="BK15" s="63"/>
      <c r="BL15" s="63"/>
      <c r="BM15" s="63"/>
      <c r="BN15" s="72"/>
      <c r="BO15" s="62" t="s">
        <v>105</v>
      </c>
      <c r="BP15" s="63"/>
      <c r="BQ15" s="63"/>
      <c r="BR15" s="63"/>
      <c r="BS15" s="63"/>
      <c r="BT15" s="63"/>
      <c r="BU15" s="72"/>
      <c r="BV15" s="74"/>
      <c r="BW15" s="354" t="s">
        <v>107</v>
      </c>
      <c r="BY15" s="237"/>
      <c r="BZ15" s="237"/>
      <c r="CA15" s="236"/>
      <c r="CC15" s="268"/>
      <c r="CD15" s="237"/>
      <c r="CE15" s="237"/>
      <c r="CF15" s="237"/>
      <c r="CG15" s="236"/>
      <c r="CH15" s="236"/>
      <c r="CI15" s="236"/>
      <c r="CJ15" s="236"/>
    </row>
    <row r="16" spans="1:117" s="23" customFormat="1" ht="49.5" x14ac:dyDescent="0.45">
      <c r="B16" s="223"/>
      <c r="C16" s="52"/>
      <c r="D16" s="391"/>
      <c r="I16" s="355"/>
      <c r="J16" s="223"/>
      <c r="K16" s="52"/>
      <c r="N16" s="396"/>
      <c r="V16" s="500" t="s">
        <v>108</v>
      </c>
      <c r="W16" s="501" t="s">
        <v>109</v>
      </c>
      <c r="X16" s="501" t="s">
        <v>13</v>
      </c>
      <c r="Y16" s="75" t="s">
        <v>110</v>
      </c>
      <c r="Z16" s="76" t="s">
        <v>111</v>
      </c>
      <c r="AA16" s="76" t="s">
        <v>112</v>
      </c>
      <c r="AB16" s="76" t="s">
        <v>113</v>
      </c>
      <c r="AC16" s="77" t="s">
        <v>114</v>
      </c>
      <c r="AD16" s="75" t="s">
        <v>115</v>
      </c>
      <c r="AE16" s="76" t="s">
        <v>116</v>
      </c>
      <c r="AF16" s="76" t="s">
        <v>117</v>
      </c>
      <c r="AG16" s="76" t="s">
        <v>118</v>
      </c>
      <c r="AH16" s="76" t="s">
        <v>119</v>
      </c>
      <c r="AI16" s="78" t="s">
        <v>120</v>
      </c>
      <c r="AJ16" s="79"/>
      <c r="AK16" s="356" t="s">
        <v>121</v>
      </c>
      <c r="AL16" s="78" t="s">
        <v>68</v>
      </c>
      <c r="AM16" s="80" t="s">
        <v>106</v>
      </c>
      <c r="AN16" s="39"/>
      <c r="AO16" s="81" t="s">
        <v>110</v>
      </c>
      <c r="AP16" s="82" t="s">
        <v>111</v>
      </c>
      <c r="AQ16" s="82" t="s">
        <v>112</v>
      </c>
      <c r="AR16" s="82" t="s">
        <v>122</v>
      </c>
      <c r="AS16" s="83" t="s">
        <v>114</v>
      </c>
      <c r="AT16" s="82" t="s">
        <v>123</v>
      </c>
      <c r="AU16" s="82" t="s">
        <v>124</v>
      </c>
      <c r="AV16" s="82" t="s">
        <v>125</v>
      </c>
      <c r="AW16" s="82" t="s">
        <v>126</v>
      </c>
      <c r="AX16" s="82" t="s">
        <v>127</v>
      </c>
      <c r="AY16" s="82" t="s">
        <v>128</v>
      </c>
      <c r="AZ16" s="82" t="s">
        <v>118</v>
      </c>
      <c r="BA16" s="82" t="s">
        <v>119</v>
      </c>
      <c r="BB16" s="83" t="s">
        <v>120</v>
      </c>
      <c r="BC16" s="84"/>
      <c r="BD16" s="83"/>
      <c r="BE16" s="24"/>
      <c r="BF16" s="85" t="s">
        <v>129</v>
      </c>
      <c r="BG16" s="24"/>
      <c r="BH16" s="86" t="s">
        <v>130</v>
      </c>
      <c r="BI16" s="87" t="s">
        <v>124</v>
      </c>
      <c r="BJ16" s="87" t="s">
        <v>125</v>
      </c>
      <c r="BK16" s="87" t="s">
        <v>126</v>
      </c>
      <c r="BL16" s="87" t="s">
        <v>128</v>
      </c>
      <c r="BM16" s="87" t="s">
        <v>113</v>
      </c>
      <c r="BN16" s="88" t="s">
        <v>114</v>
      </c>
      <c r="BO16" s="87" t="s">
        <v>131</v>
      </c>
      <c r="BP16" s="87" t="s">
        <v>132</v>
      </c>
      <c r="BQ16" s="87" t="s">
        <v>133</v>
      </c>
      <c r="BR16" s="87" t="s">
        <v>134</v>
      </c>
      <c r="BS16" s="87" t="s">
        <v>135</v>
      </c>
      <c r="BT16" s="87" t="s">
        <v>136</v>
      </c>
      <c r="BU16" s="88" t="s">
        <v>120</v>
      </c>
      <c r="BV16" s="89" t="s">
        <v>137</v>
      </c>
      <c r="BW16" s="357">
        <f>IF(SUM(BW18:BW52)=0,0,1)</f>
        <v>0</v>
      </c>
      <c r="BX16" s="24"/>
      <c r="BY16" s="273" t="s">
        <v>316</v>
      </c>
      <c r="BZ16" s="273" t="s">
        <v>317</v>
      </c>
      <c r="CA16" s="274" t="s">
        <v>231</v>
      </c>
      <c r="CB16" s="22"/>
      <c r="CC16" s="272" t="s">
        <v>283</v>
      </c>
      <c r="CD16" s="273" t="s">
        <v>284</v>
      </c>
      <c r="CE16" s="273" t="s">
        <v>285</v>
      </c>
      <c r="CF16" s="273" t="s">
        <v>286</v>
      </c>
      <c r="CG16" s="274" t="s">
        <v>287</v>
      </c>
      <c r="CH16" s="274" t="s">
        <v>288</v>
      </c>
      <c r="CI16" s="274" t="s">
        <v>289</v>
      </c>
      <c r="CJ16" s="274" t="s">
        <v>290</v>
      </c>
    </row>
    <row r="17" spans="1:89" ht="15.75" customHeight="1" x14ac:dyDescent="0.55000000000000004">
      <c r="B17" s="223" t="s">
        <v>138</v>
      </c>
      <c r="J17" s="223" t="s">
        <v>139</v>
      </c>
      <c r="K17" s="52"/>
      <c r="L17" s="23"/>
      <c r="M17" s="23"/>
      <c r="N17" s="396" t="s">
        <v>14</v>
      </c>
      <c r="O17" s="358">
        <f>SUM(F18:F19)</f>
        <v>23</v>
      </c>
      <c r="V17" s="92"/>
      <c r="W17" s="301">
        <v>0</v>
      </c>
      <c r="X17" s="302" t="s">
        <v>140</v>
      </c>
      <c r="Y17" s="359"/>
      <c r="Z17" s="360"/>
      <c r="AA17" s="360"/>
      <c r="AB17" s="360"/>
      <c r="AC17" s="360"/>
      <c r="AD17" s="360"/>
      <c r="AE17" s="360"/>
      <c r="AF17" s="94"/>
      <c r="AG17" s="360"/>
      <c r="AH17" s="360"/>
      <c r="AI17" s="360"/>
      <c r="AJ17" s="360"/>
      <c r="AK17" s="98"/>
      <c r="AL17" s="96">
        <f>-SUM(O144,SUM(O138:O140))</f>
        <v>-532.15300503547348</v>
      </c>
      <c r="AM17" s="115">
        <f>AL17*BF17</f>
        <v>-532.15300503547348</v>
      </c>
      <c r="AN17" s="98"/>
      <c r="AO17" s="362"/>
      <c r="AP17" s="360"/>
      <c r="AQ17" s="360"/>
      <c r="AR17" s="360"/>
      <c r="AS17" s="360"/>
      <c r="AT17" s="360"/>
      <c r="AU17" s="360"/>
      <c r="AV17" s="360"/>
      <c r="AW17" s="360"/>
      <c r="AX17" s="360"/>
      <c r="AY17" s="360"/>
      <c r="AZ17" s="360"/>
      <c r="BA17" s="360"/>
      <c r="BB17" s="360"/>
      <c r="BC17" s="360"/>
      <c r="BD17" s="363"/>
      <c r="BE17" s="26"/>
      <c r="BF17" s="180">
        <v>1</v>
      </c>
      <c r="BH17" s="362"/>
      <c r="BI17" s="360"/>
      <c r="BJ17" s="360"/>
      <c r="BK17" s="360"/>
      <c r="BL17" s="360"/>
      <c r="BM17" s="360"/>
      <c r="BN17" s="360"/>
      <c r="BO17" s="360"/>
      <c r="BP17" s="360"/>
      <c r="BQ17" s="360"/>
      <c r="BR17" s="360"/>
      <c r="BS17" s="360"/>
      <c r="BT17" s="360"/>
      <c r="BU17" s="360"/>
      <c r="BV17" s="360"/>
      <c r="BW17" s="104"/>
      <c r="BY17" s="101"/>
      <c r="BZ17" s="101"/>
      <c r="CA17" s="102"/>
      <c r="CB17" s="98"/>
      <c r="CC17" s="102"/>
      <c r="CD17" s="304"/>
      <c r="CE17" s="304"/>
      <c r="CF17" s="304"/>
      <c r="CG17" s="304"/>
      <c r="CH17" s="304"/>
      <c r="CI17" s="304"/>
      <c r="CJ17" s="304"/>
      <c r="CK17" s="21"/>
    </row>
    <row r="18" spans="1:89" ht="15.75" customHeight="1" x14ac:dyDescent="0.45">
      <c r="B18" s="223"/>
      <c r="C18" s="119" t="s">
        <v>15</v>
      </c>
      <c r="D18" s="276" t="s">
        <v>14</v>
      </c>
      <c r="F18" s="150">
        <v>3</v>
      </c>
      <c r="J18" s="223"/>
      <c r="K18" s="52"/>
      <c r="L18" s="23"/>
      <c r="M18" s="23"/>
      <c r="N18" s="396"/>
      <c r="O18" s="364"/>
      <c r="V18" s="105">
        <f>IF(W18=1,DATE(YEAR($F$20)+(MONTH($F$20)&gt;=4),4,0),EOMONTH(V16,12))</f>
        <v>46477</v>
      </c>
      <c r="W18" s="366">
        <f>W17+1</f>
        <v>1</v>
      </c>
      <c r="X18" s="366" t="str">
        <f>IF(W18&lt;=$F$18,$C$18,IF(W18&gt;SUM($F$18:$F$19),"-",$C$19))</f>
        <v>整備期間</v>
      </c>
      <c r="Y18" s="367">
        <f t="shared" ref="Y18:Y47" si="0">IF($W18=$F$18,$O$78,0)</f>
        <v>0</v>
      </c>
      <c r="Z18" s="368">
        <f t="shared" ref="Z18:Z47" si="1">IF($W18=$F$18,$O$80,0)</f>
        <v>0</v>
      </c>
      <c r="AA18" s="368">
        <f t="shared" ref="AA18:AA47" si="2">IF($W18=$F$18,$O$79,0)</f>
        <v>0</v>
      </c>
      <c r="AB18" s="107">
        <f t="shared" ref="AB18:AB47" si="3">IF($X18="維持管理・運営期間",$F$72,0)</f>
        <v>0</v>
      </c>
      <c r="AC18" s="365">
        <f>SUM(Y18:AB18)</f>
        <v>0</v>
      </c>
      <c r="AD18" s="367">
        <f t="shared" ref="AD18:AD47" si="4">IF($W18=$F$18,$O$33,0)</f>
        <v>0</v>
      </c>
      <c r="AE18" s="368">
        <f t="shared" ref="AE18:AE47" si="5">IF($X18="維持管理・運営期間",$O$46,0)</f>
        <v>0</v>
      </c>
      <c r="AF18" s="107">
        <f t="shared" ref="AF18:AF47" si="6">IF($X18=$C$18, $E$53, 0)+IF($X18=$C$19, $E$54, 0)</f>
        <v>10</v>
      </c>
      <c r="AG18" s="368">
        <f>IF(AND($W18&gt;$O$83, SUM($AA$17:AA17)&gt;0,SUM($AG$17:AG17)&lt;$O$79),$O$82,0)</f>
        <v>0</v>
      </c>
      <c r="AH18" s="368">
        <f>IF(SUM($AA17:$AA$18)&gt;0,($O$79-SUM($AG17:$AG$18))*$F$83,0)</f>
        <v>0</v>
      </c>
      <c r="AI18" s="365">
        <f>SUM(AD18:AH18)</f>
        <v>10</v>
      </c>
      <c r="AJ18" s="368">
        <f t="shared" ref="AJ18:AJ24" si="7">AC18-AI18</f>
        <v>-10</v>
      </c>
      <c r="AK18" s="115">
        <f>-MIN(0, AH18-BQ18)</f>
        <v>0</v>
      </c>
      <c r="AL18" s="103"/>
      <c r="AM18" s="365">
        <f t="shared" ref="AM18:AM47" si="8">AJ18*$BF18</f>
        <v>-9.6354522977663102</v>
      </c>
      <c r="AN18" s="110"/>
      <c r="AO18" s="367">
        <f t="shared" ref="AO18:AO47" si="9">IF($W18=$F$18,$P$78,0)</f>
        <v>0</v>
      </c>
      <c r="AP18" s="368">
        <f t="shared" ref="AP18:AP47" si="10">IF($W18=$F$18,$P$80,0)</f>
        <v>0</v>
      </c>
      <c r="AQ18" s="368">
        <f t="shared" ref="AQ18:AQ47" si="11">IF($W18=$F$18,$P$79,0)</f>
        <v>0</v>
      </c>
      <c r="AR18" s="107">
        <f t="shared" ref="AR18:AR47" si="12">IF($W18="-",0,IF($W18&lt;=$F$18,$P$130,IF($W18=$F$18+1,$P$131,$P$132)))+IF($F$14=$Q$14, $CA18,0)</f>
        <v>0</v>
      </c>
      <c r="AS18" s="365">
        <f>SUM(AO18:AR18)</f>
        <v>0</v>
      </c>
      <c r="AT18" s="368">
        <f t="shared" ref="AT18:AT47" si="13">IF(W18=$F$18,$P$33,0)</f>
        <v>0</v>
      </c>
      <c r="AU18" s="368">
        <f t="shared" ref="AU18:AU47" si="14">IFERROR(-PPMT($P$41,W18-$F$18,$F$19,SUM(P$34,P$59)),0)</f>
        <v>0</v>
      </c>
      <c r="AV18" s="368">
        <f t="shared" ref="AV18:AV47" si="15">IFERROR(-IPMT($P$41,W18-$F$18,$F$19,SUM($P$34,$P$59)),0)</f>
        <v>0</v>
      </c>
      <c r="AW18" s="368">
        <f t="shared" ref="AW18:AW47" si="16">IF(AND(W18&gt;$F$18,W18&lt;=SUM($F$18:$F$19)),$P$48,0)</f>
        <v>0</v>
      </c>
      <c r="AX18" s="368">
        <f t="shared" ref="AX18:AX47" si="17">IF($X18=$C$18, $F$52, 0)+IF($X18=$C$19, $F$53, 0)</f>
        <v>25</v>
      </c>
      <c r="AY18" s="368">
        <f t="shared" ref="AY18:AY47" si="18">IF(AND(W18&gt;$F$18,W18&lt;=SUM($F$18:$F$19)),$P$62,0)+CA18</f>
        <v>0</v>
      </c>
      <c r="AZ18" s="368">
        <f>IF(AND($W18&gt;$P$83, SUM($AQ$17:AQ17)&gt;0,SUM($AZ$17:AZ17)&lt;$P$79),$P$82,0)</f>
        <v>0</v>
      </c>
      <c r="BA18" s="368">
        <f>IF(SUM($AQ17:$AQ$18)&gt;0,($P$79-SUM($AZ17:$AZ$18))*$F$83,0)</f>
        <v>0</v>
      </c>
      <c r="BB18" s="365">
        <f>SUM(AT18:BA18)</f>
        <v>25</v>
      </c>
      <c r="BC18" s="368">
        <f>AS18-BB18</f>
        <v>-25</v>
      </c>
      <c r="BD18" s="365">
        <f t="shared" ref="BD18:BD47" si="19">BC18*$BF18</f>
        <v>-24.088630744415777</v>
      </c>
      <c r="BE18" s="111"/>
      <c r="BF18" s="180">
        <f>1/(1+$O$25)</f>
        <v>0.96354522977663104</v>
      </c>
      <c r="BH18" s="369">
        <f>AT18</f>
        <v>0</v>
      </c>
      <c r="BI18" s="369">
        <f>AU18</f>
        <v>0</v>
      </c>
      <c r="BJ18" s="370">
        <f>AV18</f>
        <v>0</v>
      </c>
      <c r="BK18" s="370">
        <f>AW18</f>
        <v>0</v>
      </c>
      <c r="BL18" s="370">
        <f>AY18</f>
        <v>0</v>
      </c>
      <c r="BM18" s="107">
        <f t="shared" ref="BM18:BM47" si="20">IF($X18="維持管理・運営期間",$F$72,0)</f>
        <v>0</v>
      </c>
      <c r="BN18" s="371">
        <f>SUM(BH18:BM18)</f>
        <v>0</v>
      </c>
      <c r="BO18" s="370">
        <f t="shared" ref="BO18:BO47" si="21">IF($W18=$F$18,$P$35,0)</f>
        <v>0</v>
      </c>
      <c r="BP18" s="370">
        <f t="shared" ref="BP18:BP47" si="22">IF(AND(W18&gt;$F$18,W18&lt;=SUM($F$18:$F$19)),$P$46,0)</f>
        <v>0</v>
      </c>
      <c r="BQ18" s="370">
        <f t="shared" ref="BQ18:BQ47" si="23">IFERROR(-IPMT($P$86,W18-$F$18,$F$19,$P$34),0)</f>
        <v>0</v>
      </c>
      <c r="BR18" s="370">
        <f t="shared" ref="BR18:BR47" si="24">IF($W18&lt;=$O$17,$F$139,0)</f>
        <v>12</v>
      </c>
      <c r="BS18" s="370">
        <f t="shared" ref="BS18:BS47" si="25">IF($W18=1,$O$138,0)</f>
        <v>30</v>
      </c>
      <c r="BT18" s="370" cm="1">
        <f t="array" ref="BT18">IF($X18&lt;=$O$17,_xlfn.IFS(W18&lt;$F$18+1,$P$106,W18=$F$18+1,$P$107,W18&gt;$F$18,$P$108),0)+CA18</f>
        <v>0</v>
      </c>
      <c r="BU18" s="371">
        <f>SUM(BO18:BT18)</f>
        <v>42</v>
      </c>
      <c r="BV18" s="371">
        <f t="shared" ref="BV18:BV24" si="26">BN18-BU18</f>
        <v>-42</v>
      </c>
      <c r="BW18" s="372"/>
      <c r="BY18" s="266">
        <f t="shared" ref="BY18:BY47" si="27">IF(X18=$C$19, -$P$32/$F$19, 0)</f>
        <v>0</v>
      </c>
      <c r="BZ18" s="266">
        <f t="shared" ref="BZ18:BZ47" si="28">BO17+BZ17+BY18</f>
        <v>0</v>
      </c>
      <c r="CA18" s="263">
        <f>BZ18*$F$107</f>
        <v>0</v>
      </c>
      <c r="CB18" s="98"/>
      <c r="CC18" s="263" cm="1">
        <f t="array" ref="CC18">SUM(BJ18:BM18, -BP18:BT18,BY18)</f>
        <v>-42</v>
      </c>
      <c r="CD18" s="263">
        <f>IF($W18=1, $F$89, 0)+IF($W18=$O$17, -$F$89, 0)</f>
        <v>66</v>
      </c>
      <c r="CE18" s="263">
        <f>IF($W18=$F$18, $P$34, 0)</f>
        <v>0</v>
      </c>
      <c r="CF18" s="263">
        <f>IFERROR(PPMT($P$86, $W18-$F$18, $F$19,$P$34), 0)</f>
        <v>0</v>
      </c>
      <c r="CG18" s="263">
        <f>SUM(CG17,  CI17, CC18:CF18, -BY18)</f>
        <v>24</v>
      </c>
      <c r="CH18" s="263">
        <f t="shared" ref="CH18:CH47" si="29">SUM(CH17, CC18, CI17)</f>
        <v>-42</v>
      </c>
      <c r="CI18" s="263">
        <f>-IF($F$90=0,IF($W18&lt;&gt;$O$17,MAX(0,MIN(CG18,CH18)),MAX(0,CG18)),IF($W18=$O$17,MAX(0,CG18),0))</f>
        <v>0</v>
      </c>
      <c r="CJ18" s="263">
        <f>-SUM(CD18, CI18)</f>
        <v>-66</v>
      </c>
      <c r="CK18" s="21"/>
    </row>
    <row r="19" spans="1:89" ht="15.75" customHeight="1" x14ac:dyDescent="0.45">
      <c r="B19" s="223"/>
      <c r="C19" s="119" t="s">
        <v>141</v>
      </c>
      <c r="D19" s="276" t="s">
        <v>14</v>
      </c>
      <c r="F19" s="150">
        <v>20</v>
      </c>
      <c r="J19" s="223"/>
      <c r="V19" s="105">
        <f t="shared" ref="V19:V24" si="30">IF(W19=1,DATE(YEAR($F$20)+(MONTH($F$20)&gt;=4),4,0),EOMONTH(V18,12))</f>
        <v>46843</v>
      </c>
      <c r="W19" s="366">
        <f t="shared" ref="W19:W47" si="31">W18+1</f>
        <v>2</v>
      </c>
      <c r="X19" s="366" t="str">
        <f t="shared" ref="X19:X47" si="32">IF(W19&lt;=$F$18,$C$18,IF(W19&gt;SUM($F$18:$F$19),"-",$C$19))</f>
        <v>整備期間</v>
      </c>
      <c r="Y19" s="367">
        <f t="shared" si="0"/>
        <v>0</v>
      </c>
      <c r="Z19" s="368">
        <f t="shared" si="1"/>
        <v>0</v>
      </c>
      <c r="AA19" s="368">
        <f t="shared" si="2"/>
        <v>0</v>
      </c>
      <c r="AB19" s="107">
        <f t="shared" si="3"/>
        <v>0</v>
      </c>
      <c r="AC19" s="365">
        <f t="shared" ref="AC19:AC47" si="33">SUM(Y19:AB19)</f>
        <v>0</v>
      </c>
      <c r="AD19" s="367">
        <f t="shared" si="4"/>
        <v>0</v>
      </c>
      <c r="AE19" s="368">
        <f t="shared" si="5"/>
        <v>0</v>
      </c>
      <c r="AF19" s="107">
        <f t="shared" si="6"/>
        <v>10</v>
      </c>
      <c r="AG19" s="368">
        <f>IF(AND($W19&gt;$O$83, SUM($AA$17:AA18)&gt;0,SUM($AG$17:AG18)&lt;$O$79),$O$82,0)</f>
        <v>0</v>
      </c>
      <c r="AH19" s="370">
        <f>IF(SUM($AA$18:$AA18)&gt;0,($O$79-SUM($AG$18:$AG18))*$F$83,0)</f>
        <v>0</v>
      </c>
      <c r="AI19" s="365">
        <f t="shared" ref="AI19:AI47" si="34">SUM(AD19:AH19)</f>
        <v>10</v>
      </c>
      <c r="AJ19" s="370">
        <f t="shared" si="7"/>
        <v>-10</v>
      </c>
      <c r="AK19" s="115">
        <f t="shared" ref="AK19:AK47" si="35">-MIN(0, AH19-BQ19)</f>
        <v>0</v>
      </c>
      <c r="AL19" s="103"/>
      <c r="AM19" s="371">
        <f t="shared" si="8"/>
        <v>-9.2841940982530069</v>
      </c>
      <c r="AN19" s="110"/>
      <c r="AO19" s="369">
        <f t="shared" si="9"/>
        <v>0</v>
      </c>
      <c r="AP19" s="370">
        <f t="shared" si="10"/>
        <v>0</v>
      </c>
      <c r="AQ19" s="370">
        <f t="shared" si="11"/>
        <v>0</v>
      </c>
      <c r="AR19" s="107">
        <f t="shared" si="12"/>
        <v>0</v>
      </c>
      <c r="AS19" s="365">
        <f t="shared" ref="AS19:AS47" si="36">SUM(AO19:AR19)</f>
        <v>0</v>
      </c>
      <c r="AT19" s="368">
        <f t="shared" si="13"/>
        <v>0</v>
      </c>
      <c r="AU19" s="368">
        <f t="shared" si="14"/>
        <v>0</v>
      </c>
      <c r="AV19" s="368">
        <f t="shared" si="15"/>
        <v>0</v>
      </c>
      <c r="AW19" s="368">
        <f t="shared" si="16"/>
        <v>0</v>
      </c>
      <c r="AX19" s="368">
        <f t="shared" si="17"/>
        <v>25</v>
      </c>
      <c r="AY19" s="368">
        <f t="shared" si="18"/>
        <v>0</v>
      </c>
      <c r="AZ19" s="368">
        <f>IF(AND($W19&gt;$P$83, SUM($AQ$17:AQ18)&gt;0,SUM($AZ$17:AZ18)&lt;$P$79),$P$82,0)</f>
        <v>0</v>
      </c>
      <c r="BA19" s="368">
        <f>IF(SUM($AQ18:$AQ$18)&gt;0,($P$79-SUM($AZ18:$AZ$18))*$F$83,0)</f>
        <v>0</v>
      </c>
      <c r="BB19" s="365">
        <f t="shared" ref="BB19:BB47" si="37">SUM(AT19:BA19)</f>
        <v>25</v>
      </c>
      <c r="BC19" s="370">
        <f t="shared" ref="BC19:BC24" si="38">AS19-BB19</f>
        <v>-25</v>
      </c>
      <c r="BD19" s="371">
        <f t="shared" si="19"/>
        <v>-23.210485245632519</v>
      </c>
      <c r="BE19" s="111"/>
      <c r="BF19" s="180">
        <f t="shared" ref="BF19:BF47" si="39">BF18/(1+$O$25)</f>
        <v>0.92841940982530069</v>
      </c>
      <c r="BH19" s="369">
        <f t="shared" ref="BH19:BH24" si="40">AT19</f>
        <v>0</v>
      </c>
      <c r="BI19" s="369">
        <f t="shared" ref="BI19:BI24" si="41">AU19</f>
        <v>0</v>
      </c>
      <c r="BJ19" s="370">
        <f t="shared" ref="BJ19:BJ24" si="42">AV19</f>
        <v>0</v>
      </c>
      <c r="BK19" s="370">
        <f t="shared" ref="BK19:BK24" si="43">AW19</f>
        <v>0</v>
      </c>
      <c r="BL19" s="370">
        <f t="shared" ref="BL19:BL24" si="44">AY19</f>
        <v>0</v>
      </c>
      <c r="BM19" s="107">
        <f t="shared" si="20"/>
        <v>0</v>
      </c>
      <c r="BN19" s="371">
        <f t="shared" ref="BN19:BN24" si="45">SUM(BH19:BM19)</f>
        <v>0</v>
      </c>
      <c r="BO19" s="370">
        <f t="shared" si="21"/>
        <v>0</v>
      </c>
      <c r="BP19" s="370">
        <f t="shared" si="22"/>
        <v>0</v>
      </c>
      <c r="BQ19" s="370">
        <f t="shared" si="23"/>
        <v>0</v>
      </c>
      <c r="BR19" s="370">
        <f t="shared" si="24"/>
        <v>12</v>
      </c>
      <c r="BS19" s="370">
        <f t="shared" si="25"/>
        <v>0</v>
      </c>
      <c r="BT19" s="370" cm="1">
        <f t="array" ref="BT19">IF($X19&lt;=$O$17,_xlfn.IFS(W19&lt;$F$18+1,$P$106,W19=$F$18+1,$P$107,W19&gt;$F$18,$P$108),0)+CA19</f>
        <v>0</v>
      </c>
      <c r="BU19" s="371">
        <f t="shared" ref="BU19:BU47" si="46">SUM(BO19:BT19)</f>
        <v>12</v>
      </c>
      <c r="BV19" s="371">
        <f t="shared" si="26"/>
        <v>-12</v>
      </c>
      <c r="BW19" s="373"/>
      <c r="BY19" s="266">
        <f t="shared" si="27"/>
        <v>0</v>
      </c>
      <c r="BZ19" s="266">
        <f t="shared" si="28"/>
        <v>0</v>
      </c>
      <c r="CA19" s="263">
        <f t="shared" ref="CA19:CA47" si="47">BZ19*$F$107</f>
        <v>0</v>
      </c>
      <c r="CB19" s="98"/>
      <c r="CC19" s="263" cm="1">
        <f t="array" ref="CC19">SUM(BJ19:BM19, -BP19:BT19,BY19)</f>
        <v>-12</v>
      </c>
      <c r="CD19" s="263">
        <f t="shared" ref="CD19:CD47" si="48">IF($W19=1, $F$89, 0)+IF($W19=$O$17, -$F$89, 0)</f>
        <v>0</v>
      </c>
      <c r="CE19" s="263">
        <f t="shared" ref="CE19:CE47" si="49">IF($W19=$F$18, $P$34, 0)</f>
        <v>0</v>
      </c>
      <c r="CF19" s="263">
        <f t="shared" ref="CF19:CF47" si="50">IFERROR(PPMT($P$86, $W19-$F$18, $F$19,$P$34), 0)</f>
        <v>0</v>
      </c>
      <c r="CG19" s="263">
        <f t="shared" ref="CG19:CG47" si="51">SUM(CG18,  CI18, CC19:CF19, -BY19)</f>
        <v>12</v>
      </c>
      <c r="CH19" s="263">
        <f t="shared" si="29"/>
        <v>-54</v>
      </c>
      <c r="CI19" s="263">
        <f t="shared" ref="CI19:CI47" si="52">-IF($F$90=0,IF($W19&lt;&gt;$O$17,MAX(0,MIN(CG19,CH19)),MAX(0,CG19)),IF($W19=$O$17,MAX(0,CG19),0))</f>
        <v>0</v>
      </c>
      <c r="CJ19" s="263">
        <f t="shared" ref="CJ19:CJ47" si="53">-SUM(CD19, CI19)</f>
        <v>0</v>
      </c>
      <c r="CK19" s="21"/>
    </row>
    <row r="20" spans="1:89" ht="15.75" customHeight="1" x14ac:dyDescent="0.45">
      <c r="B20" s="223"/>
      <c r="C20" s="119" t="s">
        <v>142</v>
      </c>
      <c r="D20" s="276" t="s">
        <v>143</v>
      </c>
      <c r="F20" s="151">
        <v>46113</v>
      </c>
      <c r="J20" s="223"/>
      <c r="V20" s="105">
        <f t="shared" si="30"/>
        <v>47208</v>
      </c>
      <c r="W20" s="366">
        <f t="shared" si="31"/>
        <v>3</v>
      </c>
      <c r="X20" s="366" t="str">
        <f t="shared" si="32"/>
        <v>整備期間</v>
      </c>
      <c r="Y20" s="367">
        <f t="shared" si="0"/>
        <v>1140</v>
      </c>
      <c r="Z20" s="368">
        <f t="shared" si="1"/>
        <v>0</v>
      </c>
      <c r="AA20" s="368">
        <f t="shared" si="2"/>
        <v>1282.5</v>
      </c>
      <c r="AB20" s="107">
        <f t="shared" si="3"/>
        <v>0</v>
      </c>
      <c r="AC20" s="365">
        <f t="shared" si="33"/>
        <v>2422.5</v>
      </c>
      <c r="AD20" s="367">
        <f t="shared" si="4"/>
        <v>2850</v>
      </c>
      <c r="AE20" s="368">
        <f t="shared" si="5"/>
        <v>0</v>
      </c>
      <c r="AF20" s="107">
        <f t="shared" si="6"/>
        <v>10</v>
      </c>
      <c r="AG20" s="368">
        <f>IF(AND($W20&gt;$O$83, SUM($AA$17:AA19)&gt;0,SUM($AG$17:AG19)&lt;$O$79),$O$82,0)</f>
        <v>0</v>
      </c>
      <c r="AH20" s="370">
        <f>IF(SUM($AA$18:$AA19)&gt;0,($O$79-SUM($AG$18:$AG19))*$F$83,0)</f>
        <v>0</v>
      </c>
      <c r="AI20" s="365">
        <f t="shared" si="34"/>
        <v>2860</v>
      </c>
      <c r="AJ20" s="370">
        <f t="shared" si="7"/>
        <v>-437.5</v>
      </c>
      <c r="AK20" s="115">
        <f t="shared" si="35"/>
        <v>0</v>
      </c>
      <c r="AL20" s="103"/>
      <c r="AM20" s="371">
        <f t="shared" si="8"/>
        <v>-391.37616593652655</v>
      </c>
      <c r="AN20" s="110"/>
      <c r="AO20" s="369">
        <f t="shared" si="9"/>
        <v>1140</v>
      </c>
      <c r="AP20" s="370">
        <f t="shared" si="10"/>
        <v>0</v>
      </c>
      <c r="AQ20" s="370">
        <f t="shared" si="11"/>
        <v>1282.5</v>
      </c>
      <c r="AR20" s="107">
        <f t="shared" si="12"/>
        <v>0</v>
      </c>
      <c r="AS20" s="365">
        <f t="shared" si="36"/>
        <v>2422.5</v>
      </c>
      <c r="AT20" s="368">
        <f t="shared" si="13"/>
        <v>1425</v>
      </c>
      <c r="AU20" s="368">
        <f t="shared" si="14"/>
        <v>0</v>
      </c>
      <c r="AV20" s="368">
        <f t="shared" si="15"/>
        <v>0</v>
      </c>
      <c r="AW20" s="368">
        <f t="shared" si="16"/>
        <v>0</v>
      </c>
      <c r="AX20" s="368">
        <f t="shared" si="17"/>
        <v>25</v>
      </c>
      <c r="AY20" s="368">
        <f t="shared" si="18"/>
        <v>0</v>
      </c>
      <c r="AZ20" s="368">
        <f>IF(AND($W20&gt;$P$83, SUM($AQ$17:AQ19)&gt;0,SUM($AZ$17:AZ19)&lt;$P$79),$P$82,0)</f>
        <v>0</v>
      </c>
      <c r="BA20" s="368">
        <f>IF(SUM($AQ$18:$AQ19)&gt;0,($P$79-SUM($AZ$18:$AZ19))*$F$83,0)</f>
        <v>0</v>
      </c>
      <c r="BB20" s="365">
        <f t="shared" si="37"/>
        <v>1450</v>
      </c>
      <c r="BC20" s="370">
        <f t="shared" si="38"/>
        <v>972.5</v>
      </c>
      <c r="BD20" s="371">
        <f t="shared" si="19"/>
        <v>869.97330599605039</v>
      </c>
      <c r="BE20" s="111"/>
      <c r="BF20" s="180">
        <f t="shared" si="39"/>
        <v>0.89457409356920348</v>
      </c>
      <c r="BH20" s="369">
        <f t="shared" si="40"/>
        <v>1425</v>
      </c>
      <c r="BI20" s="369">
        <f t="shared" si="41"/>
        <v>0</v>
      </c>
      <c r="BJ20" s="370">
        <f t="shared" si="42"/>
        <v>0</v>
      </c>
      <c r="BK20" s="370">
        <f t="shared" si="43"/>
        <v>0</v>
      </c>
      <c r="BL20" s="370">
        <f t="shared" si="44"/>
        <v>0</v>
      </c>
      <c r="BM20" s="107">
        <f t="shared" si="20"/>
        <v>0</v>
      </c>
      <c r="BN20" s="371">
        <f t="shared" si="45"/>
        <v>1425</v>
      </c>
      <c r="BO20" s="370">
        <f t="shared" si="21"/>
        <v>2850</v>
      </c>
      <c r="BP20" s="370">
        <f t="shared" si="22"/>
        <v>0</v>
      </c>
      <c r="BQ20" s="370">
        <f t="shared" si="23"/>
        <v>0</v>
      </c>
      <c r="BR20" s="370">
        <f t="shared" si="24"/>
        <v>12</v>
      </c>
      <c r="BS20" s="370">
        <f t="shared" si="25"/>
        <v>0</v>
      </c>
      <c r="BT20" s="370" cm="1">
        <f t="array" ref="BT20">IF($X20&lt;=$O$17,_xlfn.IFS(W20&lt;$F$18+1,$P$106,W20=$F$18+1,$P$107,W20&gt;$F$18,$P$108),0)+CA20</f>
        <v>0</v>
      </c>
      <c r="BU20" s="371">
        <f t="shared" si="46"/>
        <v>2862</v>
      </c>
      <c r="BV20" s="371">
        <f t="shared" si="26"/>
        <v>-1437</v>
      </c>
      <c r="BW20" s="373"/>
      <c r="BY20" s="266">
        <f t="shared" si="27"/>
        <v>0</v>
      </c>
      <c r="BZ20" s="266">
        <f t="shared" si="28"/>
        <v>0</v>
      </c>
      <c r="CA20" s="263">
        <f t="shared" si="47"/>
        <v>0</v>
      </c>
      <c r="CB20" s="265"/>
      <c r="CC20" s="263" cm="1">
        <f t="array" ref="CC20">SUM(BJ20:BM20, -BP20:BT20,BY20)</f>
        <v>-12</v>
      </c>
      <c r="CD20" s="263">
        <f t="shared" si="48"/>
        <v>0</v>
      </c>
      <c r="CE20" s="263">
        <f t="shared" si="49"/>
        <v>1425</v>
      </c>
      <c r="CF20" s="263">
        <f t="shared" si="50"/>
        <v>0</v>
      </c>
      <c r="CG20" s="263">
        <f t="shared" si="51"/>
        <v>1425</v>
      </c>
      <c r="CH20" s="263">
        <f t="shared" si="29"/>
        <v>-66</v>
      </c>
      <c r="CI20" s="263">
        <f t="shared" si="52"/>
        <v>0</v>
      </c>
      <c r="CJ20" s="263">
        <f t="shared" si="53"/>
        <v>0</v>
      </c>
      <c r="CK20" s="21"/>
    </row>
    <row r="21" spans="1:89" ht="15.75" customHeight="1" x14ac:dyDescent="0.45">
      <c r="B21" s="223"/>
      <c r="C21" s="119" t="s">
        <v>144</v>
      </c>
      <c r="D21" s="276" t="s">
        <v>143</v>
      </c>
      <c r="F21" s="152">
        <f>EOMONTH(F20,12*F18-1)</f>
        <v>47208</v>
      </c>
      <c r="J21" s="223"/>
      <c r="V21" s="105">
        <f t="shared" si="30"/>
        <v>47573</v>
      </c>
      <c r="W21" s="366">
        <f t="shared" si="31"/>
        <v>4</v>
      </c>
      <c r="X21" s="366" t="str">
        <f t="shared" si="32"/>
        <v>維持管理・運営期間</v>
      </c>
      <c r="Y21" s="367">
        <f t="shared" si="0"/>
        <v>0</v>
      </c>
      <c r="Z21" s="368">
        <f t="shared" si="1"/>
        <v>0</v>
      </c>
      <c r="AA21" s="368">
        <f t="shared" si="2"/>
        <v>0</v>
      </c>
      <c r="AB21" s="107">
        <f t="shared" si="3"/>
        <v>0</v>
      </c>
      <c r="AC21" s="365">
        <f t="shared" si="33"/>
        <v>0</v>
      </c>
      <c r="AD21" s="367">
        <f t="shared" si="4"/>
        <v>0</v>
      </c>
      <c r="AE21" s="368">
        <f t="shared" si="5"/>
        <v>47.5</v>
      </c>
      <c r="AF21" s="107">
        <f t="shared" si="6"/>
        <v>0</v>
      </c>
      <c r="AG21" s="368">
        <f>IF(AND($W21&gt;$O$83, SUM($AA$17:AA20)&gt;0,SUM($AG$17:AG20)&lt;$O$79),$O$82,0)</f>
        <v>0</v>
      </c>
      <c r="AH21" s="370">
        <f>IF(SUM($AA$18:$AA20)&gt;0,($O$79-SUM($AG$18:$AG20))*$F$83,0)</f>
        <v>25.008749999999999</v>
      </c>
      <c r="AI21" s="365">
        <f t="shared" si="34"/>
        <v>72.508749999999992</v>
      </c>
      <c r="AJ21" s="370">
        <f t="shared" si="7"/>
        <v>-72.508749999999992</v>
      </c>
      <c r="AK21" s="115">
        <f t="shared" si="35"/>
        <v>14.654699999999998</v>
      </c>
      <c r="AL21" s="103"/>
      <c r="AM21" s="371">
        <f t="shared" si="8"/>
        <v>-62.499830711930791</v>
      </c>
      <c r="AN21" s="110"/>
      <c r="AO21" s="369">
        <f t="shared" si="9"/>
        <v>0</v>
      </c>
      <c r="AP21" s="370">
        <f t="shared" si="10"/>
        <v>0</v>
      </c>
      <c r="AQ21" s="370">
        <f t="shared" si="11"/>
        <v>0</v>
      </c>
      <c r="AR21" s="107">
        <f t="shared" si="12"/>
        <v>37.905000000000001</v>
      </c>
      <c r="AS21" s="365">
        <f t="shared" si="36"/>
        <v>37.905000000000001</v>
      </c>
      <c r="AT21" s="368">
        <f t="shared" si="13"/>
        <v>0</v>
      </c>
      <c r="AU21" s="368">
        <f t="shared" si="14"/>
        <v>54.851232161617631</v>
      </c>
      <c r="AV21" s="368">
        <f t="shared" si="15"/>
        <v>60.426194759999987</v>
      </c>
      <c r="AW21" s="368">
        <f t="shared" si="16"/>
        <v>47.5</v>
      </c>
      <c r="AX21" s="368">
        <f t="shared" si="17"/>
        <v>6</v>
      </c>
      <c r="AY21" s="368">
        <f t="shared" si="18"/>
        <v>50.085000000000001</v>
      </c>
      <c r="AZ21" s="368">
        <f>IF(AND($W21&gt;$P$83, SUM($AQ$17:AQ20)&gt;0,SUM($AZ$17:AZ20)&lt;$P$79),$P$82,0)</f>
        <v>0</v>
      </c>
      <c r="BA21" s="368">
        <f>IF(SUM($AQ$18:$AQ20)&gt;0,($P$79-SUM($AZ$18:$AZ20))*$F$83,0)</f>
        <v>25.008749999999999</v>
      </c>
      <c r="BB21" s="365">
        <f t="shared" si="37"/>
        <v>243.87117692161763</v>
      </c>
      <c r="BC21" s="370">
        <f t="shared" si="38"/>
        <v>-205.96617692161763</v>
      </c>
      <c r="BD21" s="371">
        <f t="shared" si="19"/>
        <v>-177.53514148271333</v>
      </c>
      <c r="BE21" s="111"/>
      <c r="BF21" s="180">
        <f t="shared" si="39"/>
        <v>0.86196260054035956</v>
      </c>
      <c r="BH21" s="369">
        <f t="shared" si="40"/>
        <v>0</v>
      </c>
      <c r="BI21" s="369">
        <f t="shared" si="41"/>
        <v>54.851232161617631</v>
      </c>
      <c r="BJ21" s="370">
        <f t="shared" si="42"/>
        <v>60.426194759999987</v>
      </c>
      <c r="BK21" s="370">
        <f t="shared" si="43"/>
        <v>47.5</v>
      </c>
      <c r="BL21" s="370">
        <f t="shared" si="44"/>
        <v>50.085000000000001</v>
      </c>
      <c r="BM21" s="107">
        <f t="shared" si="20"/>
        <v>0</v>
      </c>
      <c r="BN21" s="371">
        <f t="shared" si="45"/>
        <v>212.86242692161764</v>
      </c>
      <c r="BO21" s="370">
        <f t="shared" si="21"/>
        <v>0</v>
      </c>
      <c r="BP21" s="370">
        <f t="shared" si="22"/>
        <v>47.5</v>
      </c>
      <c r="BQ21" s="370">
        <f t="shared" si="23"/>
        <v>39.663449999999997</v>
      </c>
      <c r="BR21" s="370">
        <f t="shared" si="24"/>
        <v>12</v>
      </c>
      <c r="BS21" s="370">
        <f t="shared" si="25"/>
        <v>0</v>
      </c>
      <c r="BT21" s="370" cm="1">
        <f t="array" ref="BT21">IF($X21&lt;=$O$17,_xlfn.IFS(W21&lt;$F$18+1,$P$106,W21=$F$18+1,$P$107,W21&gt;$F$18,$P$108),0)+CA21</f>
        <v>37.905000000000001</v>
      </c>
      <c r="BU21" s="371">
        <f t="shared" si="46"/>
        <v>137.06844999999998</v>
      </c>
      <c r="BV21" s="371">
        <f t="shared" si="26"/>
        <v>75.793976921617656</v>
      </c>
      <c r="BW21" s="118">
        <f t="shared" ref="BW21:BW47" si="54">IF(BV21+CF21&gt;=0,0,1)</f>
        <v>0</v>
      </c>
      <c r="BY21" s="266">
        <f t="shared" si="27"/>
        <v>-142.5</v>
      </c>
      <c r="BZ21" s="266">
        <f t="shared" si="28"/>
        <v>2707.5</v>
      </c>
      <c r="CA21" s="263">
        <f t="shared" si="47"/>
        <v>37.905000000000001</v>
      </c>
      <c r="CB21" s="265"/>
      <c r="CC21" s="263" cm="1">
        <f t="array" ref="CC21">SUM(BJ21:BM21, -BP21:BT21,BY21)</f>
        <v>-121.55725524</v>
      </c>
      <c r="CD21" s="263">
        <f t="shared" si="48"/>
        <v>0</v>
      </c>
      <c r="CE21" s="263">
        <f t="shared" si="49"/>
        <v>0</v>
      </c>
      <c r="CF21" s="263">
        <f t="shared" si="50"/>
        <v>-54.211115915696041</v>
      </c>
      <c r="CG21" s="263">
        <f t="shared" si="51"/>
        <v>1391.7316288443039</v>
      </c>
      <c r="CH21" s="263">
        <f t="shared" si="29"/>
        <v>-187.55725524000002</v>
      </c>
      <c r="CI21" s="263">
        <f t="shared" si="52"/>
        <v>0</v>
      </c>
      <c r="CJ21" s="263">
        <f t="shared" si="53"/>
        <v>0</v>
      </c>
      <c r="CK21" s="21"/>
    </row>
    <row r="22" spans="1:89" ht="15.75" customHeight="1" x14ac:dyDescent="0.45">
      <c r="B22" s="223"/>
      <c r="C22" s="119" t="s">
        <v>145</v>
      </c>
      <c r="D22" s="276" t="s">
        <v>143</v>
      </c>
      <c r="F22" s="152">
        <f>F21+1</f>
        <v>47209</v>
      </c>
      <c r="J22" s="223"/>
      <c r="V22" s="105">
        <f t="shared" si="30"/>
        <v>47938</v>
      </c>
      <c r="W22" s="366">
        <f t="shared" si="31"/>
        <v>5</v>
      </c>
      <c r="X22" s="366" t="str">
        <f t="shared" si="32"/>
        <v>維持管理・運営期間</v>
      </c>
      <c r="Y22" s="367">
        <f t="shared" si="0"/>
        <v>0</v>
      </c>
      <c r="Z22" s="368">
        <f t="shared" si="1"/>
        <v>0</v>
      </c>
      <c r="AA22" s="368">
        <f t="shared" si="2"/>
        <v>0</v>
      </c>
      <c r="AB22" s="107">
        <f t="shared" si="3"/>
        <v>0</v>
      </c>
      <c r="AC22" s="365">
        <f t="shared" si="33"/>
        <v>0</v>
      </c>
      <c r="AD22" s="367">
        <f t="shared" si="4"/>
        <v>0</v>
      </c>
      <c r="AE22" s="368">
        <f t="shared" si="5"/>
        <v>47.5</v>
      </c>
      <c r="AF22" s="107">
        <f t="shared" si="6"/>
        <v>0</v>
      </c>
      <c r="AG22" s="368">
        <f>IF(AND($W22&gt;$O$83, SUM($AA$17:AA21)&gt;0,SUM($AG$17:AG21)&lt;$O$79),$O$82,0)</f>
        <v>0</v>
      </c>
      <c r="AH22" s="370">
        <f>IF(SUM($AA$18:$AA21)&gt;0,($O$79-SUM($AG$18:$AG21))*$F$83,0)</f>
        <v>25.008749999999999</v>
      </c>
      <c r="AI22" s="365">
        <f t="shared" si="34"/>
        <v>72.508749999999992</v>
      </c>
      <c r="AJ22" s="370">
        <f t="shared" si="7"/>
        <v>-72.508749999999992</v>
      </c>
      <c r="AK22" s="115">
        <f t="shared" si="35"/>
        <v>13.145787799602516</v>
      </c>
      <c r="AL22" s="103"/>
      <c r="AM22" s="371">
        <f t="shared" si="8"/>
        <v>-60.221413744327897</v>
      </c>
      <c r="AN22" s="110"/>
      <c r="AO22" s="369">
        <f t="shared" si="9"/>
        <v>0</v>
      </c>
      <c r="AP22" s="370">
        <f t="shared" si="10"/>
        <v>0</v>
      </c>
      <c r="AQ22" s="370">
        <f t="shared" si="11"/>
        <v>0</v>
      </c>
      <c r="AR22" s="107">
        <f t="shared" si="12"/>
        <v>35.910000000000004</v>
      </c>
      <c r="AS22" s="365">
        <f t="shared" si="36"/>
        <v>35.910000000000004</v>
      </c>
      <c r="AT22" s="368">
        <f t="shared" si="13"/>
        <v>0</v>
      </c>
      <c r="AU22" s="368">
        <f t="shared" si="14"/>
        <v>56.926473679220265</v>
      </c>
      <c r="AV22" s="368">
        <f t="shared" si="15"/>
        <v>58.350953242397345</v>
      </c>
      <c r="AW22" s="368">
        <f t="shared" si="16"/>
        <v>47.5</v>
      </c>
      <c r="AX22" s="368">
        <f t="shared" si="17"/>
        <v>6</v>
      </c>
      <c r="AY22" s="368">
        <f t="shared" si="18"/>
        <v>48.09</v>
      </c>
      <c r="AZ22" s="368">
        <f>IF(AND($W22&gt;$P$83, SUM($AQ$17:AQ21)&gt;0,SUM($AZ$17:AZ21)&lt;$P$79),$P$82,0)</f>
        <v>0</v>
      </c>
      <c r="BA22" s="368">
        <f>IF(SUM($AQ$18:$AQ21)&gt;0,($P$79-SUM($AZ$18:$AZ21))*$F$83,0)</f>
        <v>25.008749999999999</v>
      </c>
      <c r="BB22" s="365">
        <f t="shared" si="37"/>
        <v>241.8761769216176</v>
      </c>
      <c r="BC22" s="370">
        <f t="shared" si="38"/>
        <v>-205.9661769216176</v>
      </c>
      <c r="BD22" s="371">
        <f t="shared" si="19"/>
        <v>-171.06313869338769</v>
      </c>
      <c r="BE22" s="111"/>
      <c r="BF22" s="180">
        <f t="shared" si="39"/>
        <v>0.8305399519965232</v>
      </c>
      <c r="BH22" s="369">
        <f t="shared" si="40"/>
        <v>0</v>
      </c>
      <c r="BI22" s="369">
        <f t="shared" si="41"/>
        <v>56.926473679220265</v>
      </c>
      <c r="BJ22" s="370">
        <f t="shared" si="42"/>
        <v>58.350953242397345</v>
      </c>
      <c r="BK22" s="370">
        <f t="shared" si="43"/>
        <v>47.5</v>
      </c>
      <c r="BL22" s="370">
        <f t="shared" si="44"/>
        <v>48.09</v>
      </c>
      <c r="BM22" s="107">
        <f t="shared" si="20"/>
        <v>0</v>
      </c>
      <c r="BN22" s="371">
        <f t="shared" si="45"/>
        <v>210.86742692161761</v>
      </c>
      <c r="BO22" s="370">
        <f t="shared" si="21"/>
        <v>0</v>
      </c>
      <c r="BP22" s="370">
        <f t="shared" si="22"/>
        <v>47.5</v>
      </c>
      <c r="BQ22" s="370">
        <f t="shared" si="23"/>
        <v>38.154537799602515</v>
      </c>
      <c r="BR22" s="370">
        <f t="shared" si="24"/>
        <v>12</v>
      </c>
      <c r="BS22" s="370">
        <f t="shared" si="25"/>
        <v>0</v>
      </c>
      <c r="BT22" s="370" cm="1">
        <f t="array" ref="BT22">IF($X22&lt;=$O$17,_xlfn.IFS(W22&lt;$F$18+1,$P$106,W22=$F$18+1,$P$107,W22&gt;$F$18,$P$108),0)+CA22</f>
        <v>35.910000000000004</v>
      </c>
      <c r="BU22" s="371">
        <f t="shared" si="46"/>
        <v>133.5645377996025</v>
      </c>
      <c r="BV22" s="371">
        <f t="shared" si="26"/>
        <v>77.302889122015102</v>
      </c>
      <c r="BW22" s="118">
        <f t="shared" si="54"/>
        <v>0</v>
      </c>
      <c r="BY22" s="266">
        <f t="shared" si="27"/>
        <v>-142.5</v>
      </c>
      <c r="BZ22" s="266">
        <f t="shared" si="28"/>
        <v>2565</v>
      </c>
      <c r="CA22" s="263">
        <f t="shared" si="47"/>
        <v>35.910000000000004</v>
      </c>
      <c r="CB22" s="265"/>
      <c r="CC22" s="263" cm="1">
        <f t="array" ref="CC22">SUM(BJ22:BM22, -BP22:BT22,BY22)</f>
        <v>-122.12358455720516</v>
      </c>
      <c r="CD22" s="263">
        <f t="shared" si="48"/>
        <v>0</v>
      </c>
      <c r="CE22" s="263">
        <f t="shared" si="49"/>
        <v>0</v>
      </c>
      <c r="CF22" s="263">
        <f t="shared" si="50"/>
        <v>-55.720028116093523</v>
      </c>
      <c r="CG22" s="263">
        <f t="shared" si="51"/>
        <v>1356.3880161710053</v>
      </c>
      <c r="CH22" s="263">
        <f t="shared" si="29"/>
        <v>-309.68083979720518</v>
      </c>
      <c r="CI22" s="263">
        <f t="shared" si="52"/>
        <v>0</v>
      </c>
      <c r="CJ22" s="263">
        <f t="shared" si="53"/>
        <v>0</v>
      </c>
      <c r="CK22" s="21"/>
    </row>
    <row r="23" spans="1:89" ht="15.75" customHeight="1" x14ac:dyDescent="0.45">
      <c r="B23" s="223"/>
      <c r="C23" s="119" t="s">
        <v>146</v>
      </c>
      <c r="D23" s="276" t="s">
        <v>143</v>
      </c>
      <c r="F23" s="152">
        <f>EOMONTH(F22,12*F19-1)</f>
        <v>54513</v>
      </c>
      <c r="J23" s="223"/>
      <c r="V23" s="105">
        <f t="shared" si="30"/>
        <v>48304</v>
      </c>
      <c r="W23" s="366">
        <f t="shared" si="31"/>
        <v>6</v>
      </c>
      <c r="X23" s="366" t="str">
        <f t="shared" si="32"/>
        <v>維持管理・運営期間</v>
      </c>
      <c r="Y23" s="367">
        <f t="shared" si="0"/>
        <v>0</v>
      </c>
      <c r="Z23" s="368">
        <f t="shared" si="1"/>
        <v>0</v>
      </c>
      <c r="AA23" s="368">
        <f t="shared" si="2"/>
        <v>0</v>
      </c>
      <c r="AB23" s="107">
        <f t="shared" si="3"/>
        <v>0</v>
      </c>
      <c r="AC23" s="365">
        <f t="shared" si="33"/>
        <v>0</v>
      </c>
      <c r="AD23" s="367">
        <f t="shared" si="4"/>
        <v>0</v>
      </c>
      <c r="AE23" s="368">
        <f t="shared" si="5"/>
        <v>47.5</v>
      </c>
      <c r="AF23" s="107">
        <f t="shared" si="6"/>
        <v>0</v>
      </c>
      <c r="AG23" s="368">
        <f>IF(AND($W23&gt;$O$83, SUM($AA$17:AA22)&gt;0,SUM($AG$17:AG22)&lt;$O$79),$O$82,0)</f>
        <v>0</v>
      </c>
      <c r="AH23" s="370">
        <f>IF(SUM($AA$18:$AA22)&gt;0,($O$79-SUM($AG$18:$AG22))*$F$83,0)</f>
        <v>25.008749999999999</v>
      </c>
      <c r="AI23" s="365">
        <f t="shared" si="34"/>
        <v>72.508749999999992</v>
      </c>
      <c r="AJ23" s="370">
        <f t="shared" si="7"/>
        <v>-72.508749999999992</v>
      </c>
      <c r="AK23" s="115">
        <f t="shared" si="35"/>
        <v>11.594876537019161</v>
      </c>
      <c r="AL23" s="103"/>
      <c r="AM23" s="371">
        <f t="shared" si="8"/>
        <v>-58.026055943751985</v>
      </c>
      <c r="AN23" s="110"/>
      <c r="AO23" s="369">
        <f t="shared" si="9"/>
        <v>0</v>
      </c>
      <c r="AP23" s="370">
        <f t="shared" si="10"/>
        <v>0</v>
      </c>
      <c r="AQ23" s="370">
        <f t="shared" si="11"/>
        <v>0</v>
      </c>
      <c r="AR23" s="107">
        <f t="shared" si="12"/>
        <v>33.914999999999999</v>
      </c>
      <c r="AS23" s="365">
        <f t="shared" si="36"/>
        <v>33.914999999999999</v>
      </c>
      <c r="AT23" s="368">
        <f t="shared" si="13"/>
        <v>0</v>
      </c>
      <c r="AU23" s="368">
        <f t="shared" si="14"/>
        <v>59.080229884399898</v>
      </c>
      <c r="AV23" s="368">
        <f t="shared" si="15"/>
        <v>56.197197037217734</v>
      </c>
      <c r="AW23" s="368">
        <f t="shared" si="16"/>
        <v>47.5</v>
      </c>
      <c r="AX23" s="368">
        <f t="shared" si="17"/>
        <v>6</v>
      </c>
      <c r="AY23" s="368">
        <f t="shared" si="18"/>
        <v>46.094999999999999</v>
      </c>
      <c r="AZ23" s="368">
        <f>IF(AND($W23&gt;$P$83, SUM($AQ$17:AQ22)&gt;0,SUM($AZ$17:AZ22)&lt;$P$79),$P$82,0)</f>
        <v>0</v>
      </c>
      <c r="BA23" s="368">
        <f>IF(SUM($AQ$18:$AQ22)&gt;0,($P$79-SUM($AZ$18:$AZ22))*$F$83,0)</f>
        <v>25.008749999999999</v>
      </c>
      <c r="BB23" s="365">
        <f t="shared" si="37"/>
        <v>239.88117692161762</v>
      </c>
      <c r="BC23" s="370">
        <f t="shared" si="38"/>
        <v>-205.96617692161763</v>
      </c>
      <c r="BD23" s="371">
        <f t="shared" si="19"/>
        <v>-164.82707127863196</v>
      </c>
      <c r="BE23" s="111"/>
      <c r="BF23" s="180">
        <f t="shared" si="39"/>
        <v>0.80026280888516199</v>
      </c>
      <c r="BH23" s="369">
        <f t="shared" si="40"/>
        <v>0</v>
      </c>
      <c r="BI23" s="369">
        <f t="shared" si="41"/>
        <v>59.080229884399898</v>
      </c>
      <c r="BJ23" s="370">
        <f t="shared" si="42"/>
        <v>56.197197037217734</v>
      </c>
      <c r="BK23" s="370">
        <f t="shared" si="43"/>
        <v>47.5</v>
      </c>
      <c r="BL23" s="370">
        <f t="shared" si="44"/>
        <v>46.094999999999999</v>
      </c>
      <c r="BM23" s="107">
        <f t="shared" si="20"/>
        <v>0</v>
      </c>
      <c r="BN23" s="371">
        <f t="shared" si="45"/>
        <v>208.87242692161763</v>
      </c>
      <c r="BO23" s="370">
        <f t="shared" si="21"/>
        <v>0</v>
      </c>
      <c r="BP23" s="370">
        <f t="shared" si="22"/>
        <v>47.5</v>
      </c>
      <c r="BQ23" s="370">
        <f t="shared" si="23"/>
        <v>36.60362653701916</v>
      </c>
      <c r="BR23" s="370">
        <f t="shared" si="24"/>
        <v>12</v>
      </c>
      <c r="BS23" s="370">
        <f t="shared" si="25"/>
        <v>0</v>
      </c>
      <c r="BT23" s="370" cm="1">
        <f t="array" ref="BT23">IF($X23&lt;=$O$17,_xlfn.IFS(W23&lt;$F$18+1,$P$106,W23=$F$18+1,$P$107,W23&gt;$F$18,$P$108),0)+CA23</f>
        <v>33.914999999999999</v>
      </c>
      <c r="BU23" s="371">
        <f t="shared" si="46"/>
        <v>130.01862653701914</v>
      </c>
      <c r="BV23" s="371">
        <f t="shared" si="26"/>
        <v>78.853800384598486</v>
      </c>
      <c r="BW23" s="118">
        <f t="shared" si="54"/>
        <v>0</v>
      </c>
      <c r="BY23" s="266">
        <f t="shared" si="27"/>
        <v>-142.5</v>
      </c>
      <c r="BZ23" s="266">
        <f t="shared" si="28"/>
        <v>2422.5</v>
      </c>
      <c r="CA23" s="263">
        <f t="shared" si="47"/>
        <v>33.914999999999999</v>
      </c>
      <c r="CB23" s="265"/>
      <c r="CC23" s="263" cm="1">
        <f t="array" ref="CC23">SUM(BJ23:BM23, -BP23:BT23,BY23)</f>
        <v>-122.72642949980141</v>
      </c>
      <c r="CD23" s="263">
        <f t="shared" si="48"/>
        <v>0</v>
      </c>
      <c r="CE23" s="263">
        <f t="shared" si="49"/>
        <v>0</v>
      </c>
      <c r="CF23" s="263">
        <f t="shared" si="50"/>
        <v>-57.270939378676864</v>
      </c>
      <c r="CG23" s="263">
        <f t="shared" si="51"/>
        <v>1318.8906472925271</v>
      </c>
      <c r="CH23" s="263">
        <f t="shared" si="29"/>
        <v>-432.40726929700656</v>
      </c>
      <c r="CI23" s="263">
        <f t="shared" si="52"/>
        <v>0</v>
      </c>
      <c r="CJ23" s="263">
        <f t="shared" si="53"/>
        <v>0</v>
      </c>
      <c r="CK23" s="21"/>
    </row>
    <row r="24" spans="1:89" ht="15.75" customHeight="1" x14ac:dyDescent="0.3">
      <c r="B24" s="223"/>
      <c r="I24" s="332"/>
      <c r="J24" s="223"/>
      <c r="V24" s="105">
        <f t="shared" si="30"/>
        <v>48669</v>
      </c>
      <c r="W24" s="366">
        <f t="shared" si="31"/>
        <v>7</v>
      </c>
      <c r="X24" s="366" t="str">
        <f t="shared" si="32"/>
        <v>維持管理・運営期間</v>
      </c>
      <c r="Y24" s="367">
        <f t="shared" si="0"/>
        <v>0</v>
      </c>
      <c r="Z24" s="368">
        <f t="shared" si="1"/>
        <v>0</v>
      </c>
      <c r="AA24" s="368">
        <f t="shared" si="2"/>
        <v>0</v>
      </c>
      <c r="AB24" s="107">
        <f t="shared" si="3"/>
        <v>0</v>
      </c>
      <c r="AC24" s="365">
        <f t="shared" si="33"/>
        <v>0</v>
      </c>
      <c r="AD24" s="367">
        <f t="shared" si="4"/>
        <v>0</v>
      </c>
      <c r="AE24" s="368">
        <f t="shared" si="5"/>
        <v>47.5</v>
      </c>
      <c r="AF24" s="107">
        <f t="shared" si="6"/>
        <v>0</v>
      </c>
      <c r="AG24" s="368">
        <f>IF(AND($W24&gt;$O$83, SUM($AA$17:AA23)&gt;0,SUM($AG$17:AG23)&lt;$O$79),$O$82,0)</f>
        <v>64.125</v>
      </c>
      <c r="AH24" s="370">
        <f>IF(SUM($AA$18:$AA23)&gt;0,($O$79-SUM($AG$18:$AG23))*$F$83,0)</f>
        <v>25.008749999999999</v>
      </c>
      <c r="AI24" s="365">
        <f t="shared" si="34"/>
        <v>136.63374999999999</v>
      </c>
      <c r="AJ24" s="370">
        <f t="shared" si="7"/>
        <v>-136.63374999999999</v>
      </c>
      <c r="AK24" s="115">
        <f t="shared" si="35"/>
        <v>10.000797210353078</v>
      </c>
      <c r="AL24" s="103"/>
      <c r="AM24" s="371">
        <f t="shared" si="8"/>
        <v>-105.35683795627529</v>
      </c>
      <c r="AN24" s="110"/>
      <c r="AO24" s="369">
        <f t="shared" si="9"/>
        <v>0</v>
      </c>
      <c r="AP24" s="370">
        <f t="shared" si="10"/>
        <v>0</v>
      </c>
      <c r="AQ24" s="370">
        <f t="shared" si="11"/>
        <v>0</v>
      </c>
      <c r="AR24" s="107">
        <f t="shared" si="12"/>
        <v>31.92</v>
      </c>
      <c r="AS24" s="365">
        <f t="shared" si="36"/>
        <v>31.92</v>
      </c>
      <c r="AT24" s="368">
        <f t="shared" si="13"/>
        <v>0</v>
      </c>
      <c r="AU24" s="368">
        <f t="shared" si="14"/>
        <v>61.315471301846273</v>
      </c>
      <c r="AV24" s="368">
        <f t="shared" si="15"/>
        <v>53.961955619771338</v>
      </c>
      <c r="AW24" s="368">
        <f t="shared" si="16"/>
        <v>47.5</v>
      </c>
      <c r="AX24" s="368">
        <f t="shared" si="17"/>
        <v>6</v>
      </c>
      <c r="AY24" s="368">
        <f t="shared" si="18"/>
        <v>44.1</v>
      </c>
      <c r="AZ24" s="368">
        <f>IF(AND($W24&gt;$P$83, SUM($AQ$17:AQ23)&gt;0,SUM($AZ$17:AZ23)&lt;$P$79),$P$82,0)</f>
        <v>64.125</v>
      </c>
      <c r="BA24" s="368">
        <f>IF(SUM($AQ$18:$AQ23)&gt;0,($P$79-SUM($AZ$18:$AZ23))*$F$83,0)</f>
        <v>25.008749999999999</v>
      </c>
      <c r="BB24" s="365">
        <f t="shared" si="37"/>
        <v>302.01117692161762</v>
      </c>
      <c r="BC24" s="370">
        <f t="shared" si="38"/>
        <v>-270.0911769216176</v>
      </c>
      <c r="BD24" s="371">
        <f t="shared" si="19"/>
        <v>-208.26444681749967</v>
      </c>
      <c r="BE24" s="111"/>
      <c r="BF24" s="180">
        <f t="shared" si="39"/>
        <v>0.77108941206894555</v>
      </c>
      <c r="BH24" s="369">
        <f t="shared" si="40"/>
        <v>0</v>
      </c>
      <c r="BI24" s="369">
        <f t="shared" si="41"/>
        <v>61.315471301846273</v>
      </c>
      <c r="BJ24" s="370">
        <f t="shared" si="42"/>
        <v>53.961955619771338</v>
      </c>
      <c r="BK24" s="370">
        <f t="shared" si="43"/>
        <v>47.5</v>
      </c>
      <c r="BL24" s="370">
        <f t="shared" si="44"/>
        <v>44.1</v>
      </c>
      <c r="BM24" s="107">
        <f t="shared" si="20"/>
        <v>0</v>
      </c>
      <c r="BN24" s="371">
        <f t="shared" si="45"/>
        <v>206.8774269216176</v>
      </c>
      <c r="BO24" s="370">
        <f t="shared" si="21"/>
        <v>0</v>
      </c>
      <c r="BP24" s="370">
        <f t="shared" si="22"/>
        <v>47.5</v>
      </c>
      <c r="BQ24" s="370">
        <f t="shared" si="23"/>
        <v>35.009547210353077</v>
      </c>
      <c r="BR24" s="370">
        <f t="shared" si="24"/>
        <v>12</v>
      </c>
      <c r="BS24" s="370">
        <f t="shared" si="25"/>
        <v>0</v>
      </c>
      <c r="BT24" s="370" cm="1">
        <f t="array" ref="BT24">IF($X24&lt;=$O$17,_xlfn.IFS(W24&lt;$F$18+1,$P$106,W24=$F$18+1,$P$107,W24&gt;$F$18,$P$108),0)+CA24</f>
        <v>31.92</v>
      </c>
      <c r="BU24" s="371">
        <f t="shared" si="46"/>
        <v>126.42954721035308</v>
      </c>
      <c r="BV24" s="371">
        <f t="shared" si="26"/>
        <v>80.44787971126452</v>
      </c>
      <c r="BW24" s="118">
        <f t="shared" si="54"/>
        <v>0</v>
      </c>
      <c r="BY24" s="266">
        <f t="shared" si="27"/>
        <v>-142.5</v>
      </c>
      <c r="BZ24" s="266">
        <f t="shared" si="28"/>
        <v>2280</v>
      </c>
      <c r="CA24" s="263">
        <f t="shared" si="47"/>
        <v>31.92</v>
      </c>
      <c r="CB24" s="265"/>
      <c r="CC24" s="263" cm="1">
        <f t="array" ref="CC24">SUM(BJ24:BM24, -BP24:BT24,BY24)</f>
        <v>-123.36759159058174</v>
      </c>
      <c r="CD24" s="263">
        <f t="shared" si="48"/>
        <v>0</v>
      </c>
      <c r="CE24" s="263">
        <f t="shared" si="49"/>
        <v>0</v>
      </c>
      <c r="CF24" s="263">
        <f t="shared" si="50"/>
        <v>-58.865018705342962</v>
      </c>
      <c r="CG24" s="263">
        <f t="shared" si="51"/>
        <v>1279.1580369966025</v>
      </c>
      <c r="CH24" s="263">
        <f t="shared" si="29"/>
        <v>-555.77486088758826</v>
      </c>
      <c r="CI24" s="263">
        <f t="shared" si="52"/>
        <v>0</v>
      </c>
      <c r="CJ24" s="263">
        <f t="shared" si="53"/>
        <v>0</v>
      </c>
      <c r="CK24" s="21"/>
    </row>
    <row r="25" spans="1:89" ht="15.75" customHeight="1" x14ac:dyDescent="0.3">
      <c r="B25" s="226" t="s">
        <v>147</v>
      </c>
      <c r="D25" s="21"/>
      <c r="J25" s="223" t="s">
        <v>148</v>
      </c>
      <c r="N25" s="393" t="s">
        <v>25</v>
      </c>
      <c r="O25" s="121">
        <f>SUM(F26:F27)</f>
        <v>3.7833999999999993E-2</v>
      </c>
      <c r="V25" s="105">
        <f t="shared" ref="V25:V35" si="55">IF(W25=1,DATE(YEAR($F$20)+(MONTH($F$20)&gt;=4),4,0),EOMONTH(V24,12))</f>
        <v>49034</v>
      </c>
      <c r="W25" s="366">
        <f t="shared" si="31"/>
        <v>8</v>
      </c>
      <c r="X25" s="366" t="str">
        <f t="shared" si="32"/>
        <v>維持管理・運営期間</v>
      </c>
      <c r="Y25" s="367">
        <f t="shared" si="0"/>
        <v>0</v>
      </c>
      <c r="Z25" s="368">
        <f t="shared" si="1"/>
        <v>0</v>
      </c>
      <c r="AA25" s="368">
        <f t="shared" si="2"/>
        <v>0</v>
      </c>
      <c r="AB25" s="107">
        <f t="shared" si="3"/>
        <v>0</v>
      </c>
      <c r="AC25" s="365">
        <f t="shared" si="33"/>
        <v>0</v>
      </c>
      <c r="AD25" s="367">
        <f t="shared" si="4"/>
        <v>0</v>
      </c>
      <c r="AE25" s="368">
        <f t="shared" si="5"/>
        <v>47.5</v>
      </c>
      <c r="AF25" s="107">
        <f t="shared" si="6"/>
        <v>0</v>
      </c>
      <c r="AG25" s="368">
        <f>IF(AND($W25&gt;$O$83, SUM($AA$17:AA24)&gt;0,SUM($AG$17:AG24)&lt;$O$79),$O$82,0)</f>
        <v>64.125</v>
      </c>
      <c r="AH25" s="370">
        <f>IF(SUM($AA$18:$AA24)&gt;0,($O$79-SUM($AG$18:$AG24))*$F$83,0)</f>
        <v>23.758312499999999</v>
      </c>
      <c r="AI25" s="365">
        <f t="shared" si="34"/>
        <v>135.38331249999999</v>
      </c>
      <c r="AJ25" s="370">
        <f t="shared" ref="AJ25:AJ35" si="56">AC25-AI25</f>
        <v>-135.38331249999999</v>
      </c>
      <c r="AK25" s="115">
        <f t="shared" si="35"/>
        <v>9.6127857797085561</v>
      </c>
      <c r="AL25" s="103"/>
      <c r="AM25" s="371">
        <f t="shared" si="8"/>
        <v>-100.58702917766361</v>
      </c>
      <c r="AN25" s="110"/>
      <c r="AO25" s="369">
        <f t="shared" si="9"/>
        <v>0</v>
      </c>
      <c r="AP25" s="370">
        <f t="shared" si="10"/>
        <v>0</v>
      </c>
      <c r="AQ25" s="370">
        <f t="shared" si="11"/>
        <v>0</v>
      </c>
      <c r="AR25" s="107">
        <f t="shared" si="12"/>
        <v>29.925000000000001</v>
      </c>
      <c r="AS25" s="365">
        <f t="shared" si="36"/>
        <v>29.925000000000001</v>
      </c>
      <c r="AT25" s="368">
        <f t="shared" si="13"/>
        <v>0</v>
      </c>
      <c r="AU25" s="368">
        <f t="shared" si="14"/>
        <v>63.635280843080331</v>
      </c>
      <c r="AV25" s="368">
        <f t="shared" si="15"/>
        <v>51.642146078537294</v>
      </c>
      <c r="AW25" s="368">
        <f t="shared" si="16"/>
        <v>47.5</v>
      </c>
      <c r="AX25" s="368">
        <f t="shared" si="17"/>
        <v>6</v>
      </c>
      <c r="AY25" s="368">
        <f t="shared" si="18"/>
        <v>42.105000000000004</v>
      </c>
      <c r="AZ25" s="368">
        <f>IF(AND($W25&gt;$P$83, SUM($AQ$17:AQ24)&gt;0,SUM($AZ$17:AZ24)&lt;$P$79),$P$82,0)</f>
        <v>64.125</v>
      </c>
      <c r="BA25" s="368">
        <f>IF(SUM($AQ$18:$AQ24)&gt;0,($P$79-SUM($AZ$18:$AZ24))*$F$83,0)</f>
        <v>23.758312499999999</v>
      </c>
      <c r="BB25" s="365">
        <f t="shared" si="37"/>
        <v>298.76573942161764</v>
      </c>
      <c r="BC25" s="370">
        <f t="shared" ref="BC25:BC35" si="57">AS25-BB25</f>
        <v>-268.84073942161763</v>
      </c>
      <c r="BD25" s="371">
        <f t="shared" si="19"/>
        <v>-199.74316480361574</v>
      </c>
      <c r="BE25" s="111"/>
      <c r="BF25" s="180">
        <f t="shared" si="39"/>
        <v>0.74297952473029949</v>
      </c>
      <c r="BH25" s="369">
        <f t="shared" ref="BH25:BH35" si="58">AT25</f>
        <v>0</v>
      </c>
      <c r="BI25" s="369">
        <f t="shared" ref="BI25:BI35" si="59">AU25</f>
        <v>63.635280843080331</v>
      </c>
      <c r="BJ25" s="370">
        <f t="shared" ref="BJ25:BJ35" si="60">AV25</f>
        <v>51.642146078537294</v>
      </c>
      <c r="BK25" s="370">
        <f t="shared" ref="BK25:BK35" si="61">AW25</f>
        <v>47.5</v>
      </c>
      <c r="BL25" s="370">
        <f t="shared" ref="BL25:BL35" si="62">AY25</f>
        <v>42.105000000000004</v>
      </c>
      <c r="BM25" s="107">
        <f t="shared" si="20"/>
        <v>0</v>
      </c>
      <c r="BN25" s="371">
        <f t="shared" ref="BN25:BN35" si="63">SUM(BH25:BM25)</f>
        <v>204.88242692161765</v>
      </c>
      <c r="BO25" s="370">
        <f t="shared" si="21"/>
        <v>0</v>
      </c>
      <c r="BP25" s="370">
        <f t="shared" si="22"/>
        <v>47.5</v>
      </c>
      <c r="BQ25" s="370">
        <f t="shared" si="23"/>
        <v>33.371098279708555</v>
      </c>
      <c r="BR25" s="370">
        <f t="shared" si="24"/>
        <v>12</v>
      </c>
      <c r="BS25" s="370">
        <f t="shared" si="25"/>
        <v>0</v>
      </c>
      <c r="BT25" s="370" cm="1">
        <f t="array" ref="BT25">IF($X25&lt;=$O$17,_xlfn.IFS(W25&lt;$F$18+1,$P$106,W25=$F$18+1,$P$107,W25&gt;$F$18,$P$108),0)+CA25</f>
        <v>29.925000000000001</v>
      </c>
      <c r="BU25" s="371">
        <f t="shared" si="46"/>
        <v>122.79609827970854</v>
      </c>
      <c r="BV25" s="371">
        <f t="shared" ref="BV25:BV35" si="64">BN25-BU25</f>
        <v>82.086328641909105</v>
      </c>
      <c r="BW25" s="118">
        <f t="shared" si="54"/>
        <v>0</v>
      </c>
      <c r="BY25" s="266">
        <f t="shared" si="27"/>
        <v>-142.5</v>
      </c>
      <c r="BZ25" s="266">
        <f t="shared" si="28"/>
        <v>2137.5</v>
      </c>
      <c r="CA25" s="263">
        <f t="shared" si="47"/>
        <v>29.925000000000001</v>
      </c>
      <c r="CB25" s="265"/>
      <c r="CC25" s="263" cm="1">
        <f t="array" ref="CC25">SUM(BJ25:BM25, -BP25:BT25,BY25)</f>
        <v>-124.04895220117126</v>
      </c>
      <c r="CD25" s="263">
        <f t="shared" si="48"/>
        <v>0</v>
      </c>
      <c r="CE25" s="263">
        <f t="shared" si="49"/>
        <v>0</v>
      </c>
      <c r="CF25" s="263">
        <f t="shared" si="50"/>
        <v>-60.503467635987469</v>
      </c>
      <c r="CG25" s="263">
        <f t="shared" si="51"/>
        <v>1237.1056171594439</v>
      </c>
      <c r="CH25" s="263">
        <f t="shared" si="29"/>
        <v>-679.82381308875949</v>
      </c>
      <c r="CI25" s="263">
        <f t="shared" si="52"/>
        <v>0</v>
      </c>
      <c r="CJ25" s="263">
        <f t="shared" si="53"/>
        <v>0</v>
      </c>
      <c r="CK25" s="21"/>
    </row>
    <row r="26" spans="1:89" ht="15.75" customHeight="1" x14ac:dyDescent="0.45">
      <c r="B26" s="223"/>
      <c r="C26" s="119" t="s">
        <v>149</v>
      </c>
      <c r="D26" s="276" t="s">
        <v>53</v>
      </c>
      <c r="F26" s="153">
        <v>1.7833999999999999E-2</v>
      </c>
      <c r="V26" s="105">
        <f t="shared" si="55"/>
        <v>49399</v>
      </c>
      <c r="W26" s="366">
        <f t="shared" si="31"/>
        <v>9</v>
      </c>
      <c r="X26" s="366" t="str">
        <f t="shared" si="32"/>
        <v>維持管理・運営期間</v>
      </c>
      <c r="Y26" s="367">
        <f t="shared" si="0"/>
        <v>0</v>
      </c>
      <c r="Z26" s="368">
        <f t="shared" si="1"/>
        <v>0</v>
      </c>
      <c r="AA26" s="368">
        <f t="shared" si="2"/>
        <v>0</v>
      </c>
      <c r="AB26" s="107">
        <f t="shared" si="3"/>
        <v>0</v>
      </c>
      <c r="AC26" s="365">
        <f t="shared" si="33"/>
        <v>0</v>
      </c>
      <c r="AD26" s="367">
        <f t="shared" si="4"/>
        <v>0</v>
      </c>
      <c r="AE26" s="368">
        <f t="shared" si="5"/>
        <v>47.5</v>
      </c>
      <c r="AF26" s="107">
        <f t="shared" si="6"/>
        <v>0</v>
      </c>
      <c r="AG26" s="368">
        <f>IF(AND($W26&gt;$O$83, SUM($AA$17:AA25)&gt;0,SUM($AG$17:AG25)&lt;$O$79),$O$82,0)</f>
        <v>64.125</v>
      </c>
      <c r="AH26" s="370">
        <f>IF(SUM($AA$18:$AA25)&gt;0,($O$79-SUM($AG$18:$AG25))*$F$83,0)</f>
        <v>22.507874999999999</v>
      </c>
      <c r="AI26" s="365">
        <f t="shared" si="34"/>
        <v>134.13287500000001</v>
      </c>
      <c r="AJ26" s="370">
        <f t="shared" si="56"/>
        <v>-134.13287500000001</v>
      </c>
      <c r="AK26" s="115">
        <f t="shared" si="35"/>
        <v>9.1791697615284811</v>
      </c>
      <c r="AL26" s="103"/>
      <c r="AM26" s="371">
        <f t="shared" si="8"/>
        <v>-96.024970966656213</v>
      </c>
      <c r="AN26" s="110"/>
      <c r="AO26" s="369">
        <f t="shared" si="9"/>
        <v>0</v>
      </c>
      <c r="AP26" s="370">
        <f t="shared" si="10"/>
        <v>0</v>
      </c>
      <c r="AQ26" s="370">
        <f t="shared" si="11"/>
        <v>0</v>
      </c>
      <c r="AR26" s="107">
        <f t="shared" si="12"/>
        <v>27.93</v>
      </c>
      <c r="AS26" s="365">
        <f t="shared" si="36"/>
        <v>27.93</v>
      </c>
      <c r="AT26" s="368">
        <f t="shared" si="13"/>
        <v>0</v>
      </c>
      <c r="AU26" s="368">
        <f t="shared" si="14"/>
        <v>66.04285805849743</v>
      </c>
      <c r="AV26" s="368">
        <f t="shared" si="15"/>
        <v>49.234568863120181</v>
      </c>
      <c r="AW26" s="368">
        <f t="shared" si="16"/>
        <v>47.5</v>
      </c>
      <c r="AX26" s="368">
        <f t="shared" si="17"/>
        <v>6</v>
      </c>
      <c r="AY26" s="368">
        <f t="shared" si="18"/>
        <v>40.11</v>
      </c>
      <c r="AZ26" s="368">
        <f>IF(AND($W26&gt;$P$83, SUM($AQ$17:AQ25)&gt;0,SUM($AZ$17:AZ25)&lt;$P$79),$P$82,0)</f>
        <v>64.125</v>
      </c>
      <c r="BA26" s="368">
        <f>IF(SUM($AQ$18:$AQ25)&gt;0,($P$79-SUM($AZ$18:$AZ25))*$F$83,0)</f>
        <v>22.507874999999999</v>
      </c>
      <c r="BB26" s="365">
        <f t="shared" si="37"/>
        <v>295.5203019216176</v>
      </c>
      <c r="BC26" s="370">
        <f t="shared" si="57"/>
        <v>-267.59030192161759</v>
      </c>
      <c r="BD26" s="371">
        <f t="shared" si="19"/>
        <v>-191.56639245212702</v>
      </c>
      <c r="BE26" s="111"/>
      <c r="BF26" s="180">
        <f t="shared" si="39"/>
        <v>0.71589437687558855</v>
      </c>
      <c r="BH26" s="369">
        <f t="shared" si="58"/>
        <v>0</v>
      </c>
      <c r="BI26" s="369">
        <f t="shared" si="59"/>
        <v>66.04285805849743</v>
      </c>
      <c r="BJ26" s="370">
        <f t="shared" si="60"/>
        <v>49.234568863120181</v>
      </c>
      <c r="BK26" s="370">
        <f t="shared" si="61"/>
        <v>47.5</v>
      </c>
      <c r="BL26" s="370">
        <f t="shared" si="62"/>
        <v>40.11</v>
      </c>
      <c r="BM26" s="107">
        <f t="shared" si="20"/>
        <v>0</v>
      </c>
      <c r="BN26" s="371">
        <f t="shared" si="63"/>
        <v>202.88742692161759</v>
      </c>
      <c r="BO26" s="370">
        <f t="shared" si="21"/>
        <v>0</v>
      </c>
      <c r="BP26" s="370">
        <f t="shared" si="22"/>
        <v>47.5</v>
      </c>
      <c r="BQ26" s="370">
        <f t="shared" si="23"/>
        <v>31.68704476152848</v>
      </c>
      <c r="BR26" s="370">
        <f t="shared" si="24"/>
        <v>12</v>
      </c>
      <c r="BS26" s="370">
        <f t="shared" si="25"/>
        <v>0</v>
      </c>
      <c r="BT26" s="370" cm="1">
        <f t="array" ref="BT26">IF($X26&lt;=$O$17,_xlfn.IFS(W26&lt;$F$18+1,$P$106,W26=$F$18+1,$P$107,W26&gt;$F$18,$P$108),0)+CA26</f>
        <v>27.93</v>
      </c>
      <c r="BU26" s="371">
        <f t="shared" si="46"/>
        <v>119.11704476152849</v>
      </c>
      <c r="BV26" s="371">
        <f t="shared" si="64"/>
        <v>83.770382160089099</v>
      </c>
      <c r="BW26" s="118">
        <f t="shared" si="54"/>
        <v>0</v>
      </c>
      <c r="BY26" s="266">
        <f t="shared" si="27"/>
        <v>-142.5</v>
      </c>
      <c r="BZ26" s="266">
        <f t="shared" si="28"/>
        <v>1995</v>
      </c>
      <c r="CA26" s="263">
        <f t="shared" si="47"/>
        <v>27.93</v>
      </c>
      <c r="CB26" s="265"/>
      <c r="CC26" s="263" cm="1">
        <f t="array" ref="CC26">SUM(BJ26:BM26, -BP26:BT26,BY26)</f>
        <v>-124.77247589840832</v>
      </c>
      <c r="CD26" s="263">
        <f t="shared" si="48"/>
        <v>0</v>
      </c>
      <c r="CE26" s="263">
        <f t="shared" si="49"/>
        <v>0</v>
      </c>
      <c r="CF26" s="263">
        <f t="shared" si="50"/>
        <v>-62.187521154167555</v>
      </c>
      <c r="CG26" s="263">
        <f t="shared" si="51"/>
        <v>1192.6456201068679</v>
      </c>
      <c r="CH26" s="263">
        <f t="shared" si="29"/>
        <v>-804.59628898716778</v>
      </c>
      <c r="CI26" s="263">
        <f t="shared" si="52"/>
        <v>0</v>
      </c>
      <c r="CJ26" s="263">
        <f t="shared" si="53"/>
        <v>0</v>
      </c>
      <c r="CK26" s="21"/>
    </row>
    <row r="27" spans="1:89" ht="13.5" customHeight="1" x14ac:dyDescent="0.45">
      <c r="C27" s="119" t="s">
        <v>58</v>
      </c>
      <c r="D27" s="276" t="s">
        <v>53</v>
      </c>
      <c r="F27" s="384">
        <f>事業費用概算!J33</f>
        <v>1.9999999999999997E-2</v>
      </c>
      <c r="V27" s="105">
        <f t="shared" si="55"/>
        <v>49765</v>
      </c>
      <c r="W27" s="366">
        <f t="shared" si="31"/>
        <v>10</v>
      </c>
      <c r="X27" s="366" t="str">
        <f t="shared" si="32"/>
        <v>維持管理・運営期間</v>
      </c>
      <c r="Y27" s="367">
        <f t="shared" si="0"/>
        <v>0</v>
      </c>
      <c r="Z27" s="368">
        <f t="shared" si="1"/>
        <v>0</v>
      </c>
      <c r="AA27" s="368">
        <f t="shared" si="2"/>
        <v>0</v>
      </c>
      <c r="AB27" s="107">
        <f t="shared" si="3"/>
        <v>0</v>
      </c>
      <c r="AC27" s="365">
        <f t="shared" si="33"/>
        <v>0</v>
      </c>
      <c r="AD27" s="367">
        <f t="shared" si="4"/>
        <v>0</v>
      </c>
      <c r="AE27" s="368">
        <f t="shared" si="5"/>
        <v>47.5</v>
      </c>
      <c r="AF27" s="107">
        <f t="shared" si="6"/>
        <v>0</v>
      </c>
      <c r="AG27" s="368">
        <f>IF(AND($W27&gt;$O$83, SUM($AA$17:AA26)&gt;0,SUM($AG$17:AG26)&lt;$O$79),$O$82,0)</f>
        <v>64.125</v>
      </c>
      <c r="AH27" s="370">
        <f>IF(SUM($AA$18:$AA26)&gt;0,($O$79-SUM($AG$18:$AG26))*$F$83,0)</f>
        <v>21.257437499999998</v>
      </c>
      <c r="AI27" s="365">
        <f t="shared" si="34"/>
        <v>132.88243750000001</v>
      </c>
      <c r="AJ27" s="370">
        <f t="shared" si="56"/>
        <v>-132.88243750000001</v>
      </c>
      <c r="AK27" s="115">
        <f t="shared" si="35"/>
        <v>8.6986797977233898</v>
      </c>
      <c r="AL27" s="103"/>
      <c r="AM27" s="371">
        <f t="shared" si="8"/>
        <v>-91.661855163515412</v>
      </c>
      <c r="AN27" s="110"/>
      <c r="AO27" s="369">
        <f t="shared" si="9"/>
        <v>0</v>
      </c>
      <c r="AP27" s="370">
        <f t="shared" si="10"/>
        <v>0</v>
      </c>
      <c r="AQ27" s="370">
        <f t="shared" si="11"/>
        <v>0</v>
      </c>
      <c r="AR27" s="107">
        <f t="shared" si="12"/>
        <v>25.935000000000002</v>
      </c>
      <c r="AS27" s="365">
        <f t="shared" si="36"/>
        <v>25.935000000000002</v>
      </c>
      <c r="AT27" s="368">
        <f t="shared" si="13"/>
        <v>0</v>
      </c>
      <c r="AU27" s="368">
        <f t="shared" si="14"/>
        <v>68.541523550282619</v>
      </c>
      <c r="AV27" s="368">
        <f t="shared" si="15"/>
        <v>46.735903371334992</v>
      </c>
      <c r="AW27" s="368">
        <f t="shared" si="16"/>
        <v>47.5</v>
      </c>
      <c r="AX27" s="368">
        <f t="shared" si="17"/>
        <v>6</v>
      </c>
      <c r="AY27" s="368">
        <f t="shared" si="18"/>
        <v>38.115000000000002</v>
      </c>
      <c r="AZ27" s="368">
        <f>IF(AND($W27&gt;$P$83, SUM($AQ$17:AQ26)&gt;0,SUM($AZ$17:AZ26)&lt;$P$79),$P$82,0)</f>
        <v>64.125</v>
      </c>
      <c r="BA27" s="368">
        <f>IF(SUM($AQ$18:$AQ26)&gt;0,($P$79-SUM($AZ$18:$AZ26))*$F$83,0)</f>
        <v>21.257437499999998</v>
      </c>
      <c r="BB27" s="365">
        <f t="shared" si="37"/>
        <v>292.27486442161756</v>
      </c>
      <c r="BC27" s="370">
        <f t="shared" si="57"/>
        <v>-266.33986442161756</v>
      </c>
      <c r="BD27" s="371">
        <f t="shared" si="19"/>
        <v>-183.72033608191933</v>
      </c>
      <c r="BE27" s="111"/>
      <c r="BF27" s="180">
        <f t="shared" si="39"/>
        <v>0.68979661186238705</v>
      </c>
      <c r="BH27" s="369">
        <f t="shared" si="58"/>
        <v>0</v>
      </c>
      <c r="BI27" s="369">
        <f t="shared" si="59"/>
        <v>68.541523550282619</v>
      </c>
      <c r="BJ27" s="370">
        <f t="shared" si="60"/>
        <v>46.735903371334992</v>
      </c>
      <c r="BK27" s="370">
        <f t="shared" si="61"/>
        <v>47.5</v>
      </c>
      <c r="BL27" s="370">
        <f t="shared" si="62"/>
        <v>38.115000000000002</v>
      </c>
      <c r="BM27" s="107">
        <f t="shared" si="20"/>
        <v>0</v>
      </c>
      <c r="BN27" s="371">
        <f t="shared" si="63"/>
        <v>200.89242692161761</v>
      </c>
      <c r="BO27" s="370">
        <f t="shared" si="21"/>
        <v>0</v>
      </c>
      <c r="BP27" s="370">
        <f t="shared" si="22"/>
        <v>47.5</v>
      </c>
      <c r="BQ27" s="370">
        <f t="shared" si="23"/>
        <v>29.956117297723388</v>
      </c>
      <c r="BR27" s="370">
        <f t="shared" si="24"/>
        <v>12</v>
      </c>
      <c r="BS27" s="370">
        <f t="shared" si="25"/>
        <v>0</v>
      </c>
      <c r="BT27" s="370" cm="1">
        <f t="array" ref="BT27">IF($X27&lt;=$O$17,_xlfn.IFS(W27&lt;$F$18+1,$P$106,W27=$F$18+1,$P$107,W27&gt;$F$18,$P$108),0)+CA27</f>
        <v>25.935000000000002</v>
      </c>
      <c r="BU27" s="371">
        <f t="shared" si="46"/>
        <v>115.39111729772338</v>
      </c>
      <c r="BV27" s="371">
        <f t="shared" si="64"/>
        <v>85.50130962389423</v>
      </c>
      <c r="BW27" s="118">
        <f t="shared" si="54"/>
        <v>0</v>
      </c>
      <c r="BY27" s="266">
        <f t="shared" si="27"/>
        <v>-142.5</v>
      </c>
      <c r="BZ27" s="266">
        <f t="shared" si="28"/>
        <v>1852.5</v>
      </c>
      <c r="CA27" s="263">
        <f t="shared" si="47"/>
        <v>25.935000000000002</v>
      </c>
      <c r="CB27" s="265"/>
      <c r="CC27" s="263" cm="1">
        <f t="array" ref="CC27">SUM(BJ27:BM27, -BP27:BT27,BY27)</f>
        <v>-125.54021392638839</v>
      </c>
      <c r="CD27" s="263">
        <f t="shared" si="48"/>
        <v>0</v>
      </c>
      <c r="CE27" s="263">
        <f t="shared" si="49"/>
        <v>0</v>
      </c>
      <c r="CF27" s="263">
        <f t="shared" si="50"/>
        <v>-63.918448617972651</v>
      </c>
      <c r="CG27" s="263">
        <f t="shared" si="51"/>
        <v>1145.6869575625069</v>
      </c>
      <c r="CH27" s="263">
        <f t="shared" si="29"/>
        <v>-930.13650291355611</v>
      </c>
      <c r="CI27" s="263">
        <f t="shared" si="52"/>
        <v>0</v>
      </c>
      <c r="CJ27" s="263">
        <f t="shared" si="53"/>
        <v>0</v>
      </c>
      <c r="CK27" s="21"/>
    </row>
    <row r="28" spans="1:89" ht="13.5" customHeight="1" x14ac:dyDescent="0.45">
      <c r="F28" s="385"/>
      <c r="V28" s="105">
        <f t="shared" si="55"/>
        <v>50130</v>
      </c>
      <c r="W28" s="366">
        <f t="shared" si="31"/>
        <v>11</v>
      </c>
      <c r="X28" s="366" t="str">
        <f t="shared" si="32"/>
        <v>維持管理・運営期間</v>
      </c>
      <c r="Y28" s="367">
        <f t="shared" si="0"/>
        <v>0</v>
      </c>
      <c r="Z28" s="368">
        <f t="shared" si="1"/>
        <v>0</v>
      </c>
      <c r="AA28" s="368">
        <f t="shared" si="2"/>
        <v>0</v>
      </c>
      <c r="AB28" s="107">
        <f t="shared" si="3"/>
        <v>0</v>
      </c>
      <c r="AC28" s="365">
        <f t="shared" si="33"/>
        <v>0</v>
      </c>
      <c r="AD28" s="367">
        <f t="shared" si="4"/>
        <v>0</v>
      </c>
      <c r="AE28" s="368">
        <f t="shared" si="5"/>
        <v>47.5</v>
      </c>
      <c r="AF28" s="107">
        <f t="shared" si="6"/>
        <v>0</v>
      </c>
      <c r="AG28" s="368">
        <f>IF(AND($W28&gt;$O$83, SUM($AA$17:AA27)&gt;0,SUM($AG$17:AG27)&lt;$O$79),$O$82,0)</f>
        <v>64.125</v>
      </c>
      <c r="AH28" s="370">
        <f>IF(SUM($AA$18:$AA27)&gt;0,($O$79-SUM($AG$18:$AG27))*$F$83,0)</f>
        <v>20.007000000000001</v>
      </c>
      <c r="AI28" s="365">
        <f t="shared" si="34"/>
        <v>131.63200000000001</v>
      </c>
      <c r="AJ28" s="370">
        <f t="shared" si="56"/>
        <v>-131.63200000000001</v>
      </c>
      <c r="AK28" s="115">
        <f t="shared" si="35"/>
        <v>8.1700111988907338</v>
      </c>
      <c r="AL28" s="103"/>
      <c r="AM28" s="371">
        <f t="shared" si="8"/>
        <v>-87.489239717208861</v>
      </c>
      <c r="AN28" s="110"/>
      <c r="AO28" s="369">
        <f t="shared" si="9"/>
        <v>0</v>
      </c>
      <c r="AP28" s="370">
        <f t="shared" si="10"/>
        <v>0</v>
      </c>
      <c r="AQ28" s="370">
        <f t="shared" si="11"/>
        <v>0</v>
      </c>
      <c r="AR28" s="107">
        <f t="shared" si="12"/>
        <v>23.94</v>
      </c>
      <c r="AS28" s="365">
        <f t="shared" si="36"/>
        <v>23.94</v>
      </c>
      <c r="AT28" s="368">
        <f t="shared" si="13"/>
        <v>0</v>
      </c>
      <c r="AU28" s="368">
        <f t="shared" si="14"/>
        <v>71.134723552284029</v>
      </c>
      <c r="AV28" s="368">
        <f t="shared" si="15"/>
        <v>44.142703369333603</v>
      </c>
      <c r="AW28" s="368">
        <f t="shared" si="16"/>
        <v>47.5</v>
      </c>
      <c r="AX28" s="368">
        <f t="shared" si="17"/>
        <v>6</v>
      </c>
      <c r="AY28" s="368">
        <f t="shared" si="18"/>
        <v>36.120000000000005</v>
      </c>
      <c r="AZ28" s="368">
        <f>IF(AND($W28&gt;$P$83, SUM($AQ$17:AQ27)&gt;0,SUM($AZ$17:AZ27)&lt;$P$79),$P$82,0)</f>
        <v>64.125</v>
      </c>
      <c r="BA28" s="368">
        <f>IF(SUM($AQ$18:$AQ27)&gt;0,($P$79-SUM($AZ$18:$AZ27))*$F$83,0)</f>
        <v>20.007000000000001</v>
      </c>
      <c r="BB28" s="365">
        <f t="shared" si="37"/>
        <v>289.02942692161764</v>
      </c>
      <c r="BC28" s="370">
        <f t="shared" si="57"/>
        <v>-265.08942692161764</v>
      </c>
      <c r="BD28" s="371">
        <f t="shared" si="19"/>
        <v>-176.19174986662003</v>
      </c>
      <c r="BE28" s="111"/>
      <c r="BF28" s="180">
        <f t="shared" si="39"/>
        <v>0.66465023487608532</v>
      </c>
      <c r="BH28" s="369">
        <f t="shared" si="58"/>
        <v>0</v>
      </c>
      <c r="BI28" s="369">
        <f t="shared" si="59"/>
        <v>71.134723552284029</v>
      </c>
      <c r="BJ28" s="370">
        <f t="shared" si="60"/>
        <v>44.142703369333603</v>
      </c>
      <c r="BK28" s="370">
        <f t="shared" si="61"/>
        <v>47.5</v>
      </c>
      <c r="BL28" s="370">
        <f t="shared" si="62"/>
        <v>36.120000000000005</v>
      </c>
      <c r="BM28" s="107">
        <f t="shared" si="20"/>
        <v>0</v>
      </c>
      <c r="BN28" s="371">
        <f t="shared" si="63"/>
        <v>198.89742692161764</v>
      </c>
      <c r="BO28" s="370">
        <f t="shared" si="21"/>
        <v>0</v>
      </c>
      <c r="BP28" s="370">
        <f t="shared" si="22"/>
        <v>47.5</v>
      </c>
      <c r="BQ28" s="370">
        <f t="shared" si="23"/>
        <v>28.177011198890735</v>
      </c>
      <c r="BR28" s="370">
        <f t="shared" si="24"/>
        <v>12</v>
      </c>
      <c r="BS28" s="370">
        <f t="shared" si="25"/>
        <v>0</v>
      </c>
      <c r="BT28" s="370" cm="1">
        <f t="array" ref="BT28">IF($X28&lt;=$O$17,_xlfn.IFS(W28&lt;$F$18+1,$P$106,W28=$F$18+1,$P$107,W28&gt;$F$18,$P$108),0)+CA28</f>
        <v>23.94</v>
      </c>
      <c r="BU28" s="371">
        <f t="shared" si="46"/>
        <v>111.61701119889074</v>
      </c>
      <c r="BV28" s="371">
        <f t="shared" si="64"/>
        <v>87.2804157227269</v>
      </c>
      <c r="BW28" s="118">
        <f t="shared" si="54"/>
        <v>0</v>
      </c>
      <c r="BY28" s="266">
        <f t="shared" si="27"/>
        <v>-142.5</v>
      </c>
      <c r="BZ28" s="266">
        <f t="shared" si="28"/>
        <v>1710</v>
      </c>
      <c r="CA28" s="263">
        <f t="shared" si="47"/>
        <v>23.94</v>
      </c>
      <c r="CB28" s="265"/>
      <c r="CC28" s="263" cm="1">
        <f t="array" ref="CC28">SUM(BJ28:BM28, -BP28:BT28,BY28)</f>
        <v>-126.35430782955713</v>
      </c>
      <c r="CD28" s="263">
        <f t="shared" si="48"/>
        <v>0</v>
      </c>
      <c r="CE28" s="263">
        <f t="shared" si="49"/>
        <v>0</v>
      </c>
      <c r="CF28" s="263">
        <f t="shared" si="50"/>
        <v>-65.697554716805314</v>
      </c>
      <c r="CG28" s="263">
        <f t="shared" si="51"/>
        <v>1096.1350950161445</v>
      </c>
      <c r="CH28" s="263">
        <f t="shared" si="29"/>
        <v>-1056.4908107431133</v>
      </c>
      <c r="CI28" s="263">
        <f t="shared" si="52"/>
        <v>0</v>
      </c>
      <c r="CJ28" s="263">
        <f t="shared" si="53"/>
        <v>0</v>
      </c>
      <c r="CK28" s="21"/>
    </row>
    <row r="29" spans="1:89" ht="15.75" customHeight="1" thickBot="1" x14ac:dyDescent="0.35">
      <c r="A29" s="210" t="s">
        <v>17</v>
      </c>
      <c r="B29" s="225"/>
      <c r="C29" s="338"/>
      <c r="D29" s="404"/>
      <c r="E29" s="202"/>
      <c r="F29" s="202"/>
      <c r="G29" s="202"/>
      <c r="H29" s="204"/>
      <c r="I29" s="219" t="s">
        <v>150</v>
      </c>
      <c r="J29" s="225"/>
      <c r="K29" s="338"/>
      <c r="L29" s="202"/>
      <c r="M29" s="202"/>
      <c r="N29" s="203"/>
      <c r="O29" s="202"/>
      <c r="P29" s="202"/>
      <c r="Q29" s="202"/>
      <c r="R29" s="202"/>
      <c r="S29" s="202"/>
      <c r="T29" s="203"/>
      <c r="U29" s="202"/>
      <c r="V29" s="105">
        <f t="shared" si="55"/>
        <v>50495</v>
      </c>
      <c r="W29" s="366">
        <f t="shared" si="31"/>
        <v>12</v>
      </c>
      <c r="X29" s="366" t="str">
        <f t="shared" si="32"/>
        <v>維持管理・運営期間</v>
      </c>
      <c r="Y29" s="367">
        <f t="shared" si="0"/>
        <v>0</v>
      </c>
      <c r="Z29" s="368">
        <f t="shared" si="1"/>
        <v>0</v>
      </c>
      <c r="AA29" s="368">
        <f t="shared" si="2"/>
        <v>0</v>
      </c>
      <c r="AB29" s="107">
        <f t="shared" si="3"/>
        <v>0</v>
      </c>
      <c r="AC29" s="365">
        <f t="shared" si="33"/>
        <v>0</v>
      </c>
      <c r="AD29" s="367">
        <f t="shared" si="4"/>
        <v>0</v>
      </c>
      <c r="AE29" s="368">
        <f t="shared" si="5"/>
        <v>47.5</v>
      </c>
      <c r="AF29" s="107">
        <f t="shared" si="6"/>
        <v>0</v>
      </c>
      <c r="AG29" s="368">
        <f>IF(AND($W29&gt;$O$83, SUM($AA$17:AA28)&gt;0,SUM($AG$17:AG28)&lt;$O$79),$O$82,0)</f>
        <v>64.125</v>
      </c>
      <c r="AH29" s="370">
        <f>IF(SUM($AA$18:$AA28)&gt;0,($O$79-SUM($AG$18:$AG28))*$F$83,0)</f>
        <v>18.756562500000001</v>
      </c>
      <c r="AI29" s="365">
        <f t="shared" si="34"/>
        <v>130.3815625</v>
      </c>
      <c r="AJ29" s="370">
        <f t="shared" si="56"/>
        <v>-130.3815625</v>
      </c>
      <c r="AK29" s="115">
        <f t="shared" si="35"/>
        <v>7.5918229609031798</v>
      </c>
      <c r="AL29" s="103"/>
      <c r="AM29" s="371">
        <f t="shared" si="8"/>
        <v>-83.49903369819836</v>
      </c>
      <c r="AN29" s="110"/>
      <c r="AO29" s="369">
        <f t="shared" si="9"/>
        <v>0</v>
      </c>
      <c r="AP29" s="370">
        <f t="shared" si="10"/>
        <v>0</v>
      </c>
      <c r="AQ29" s="370">
        <f t="shared" si="11"/>
        <v>0</v>
      </c>
      <c r="AR29" s="107">
        <f t="shared" si="12"/>
        <v>21.945</v>
      </c>
      <c r="AS29" s="365">
        <f t="shared" si="36"/>
        <v>21.945</v>
      </c>
      <c r="AT29" s="368">
        <f t="shared" si="13"/>
        <v>0</v>
      </c>
      <c r="AU29" s="368">
        <f t="shared" si="14"/>
        <v>73.826034683161126</v>
      </c>
      <c r="AV29" s="368">
        <f t="shared" si="15"/>
        <v>41.451392238456492</v>
      </c>
      <c r="AW29" s="368">
        <f t="shared" si="16"/>
        <v>47.5</v>
      </c>
      <c r="AX29" s="368">
        <f t="shared" si="17"/>
        <v>6</v>
      </c>
      <c r="AY29" s="368">
        <f t="shared" si="18"/>
        <v>34.125</v>
      </c>
      <c r="AZ29" s="368">
        <f>IF(AND($W29&gt;$P$83, SUM($AQ$17:AQ28)&gt;0,SUM($AZ$17:AZ28)&lt;$P$79),$P$82,0)</f>
        <v>64.125</v>
      </c>
      <c r="BA29" s="368">
        <f>IF(SUM($AQ$18:$AQ28)&gt;0,($P$79-SUM($AZ$18:$AZ28))*$F$83,0)</f>
        <v>18.756562500000001</v>
      </c>
      <c r="BB29" s="365">
        <f t="shared" si="37"/>
        <v>285.78398942161766</v>
      </c>
      <c r="BC29" s="370">
        <f t="shared" si="57"/>
        <v>-263.83898942161767</v>
      </c>
      <c r="BD29" s="371">
        <f t="shared" si="19"/>
        <v>-168.9679142218767</v>
      </c>
      <c r="BE29" s="111"/>
      <c r="BF29" s="180">
        <f t="shared" si="39"/>
        <v>0.64042056328476937</v>
      </c>
      <c r="BH29" s="369">
        <f t="shared" si="58"/>
        <v>0</v>
      </c>
      <c r="BI29" s="369">
        <f t="shared" si="59"/>
        <v>73.826034683161126</v>
      </c>
      <c r="BJ29" s="370">
        <f t="shared" si="60"/>
        <v>41.451392238456492</v>
      </c>
      <c r="BK29" s="370">
        <f t="shared" si="61"/>
        <v>47.5</v>
      </c>
      <c r="BL29" s="370">
        <f t="shared" si="62"/>
        <v>34.125</v>
      </c>
      <c r="BM29" s="107">
        <f t="shared" si="20"/>
        <v>0</v>
      </c>
      <c r="BN29" s="371">
        <f t="shared" si="63"/>
        <v>196.90242692161763</v>
      </c>
      <c r="BO29" s="370">
        <f t="shared" si="21"/>
        <v>0</v>
      </c>
      <c r="BP29" s="370">
        <f t="shared" si="22"/>
        <v>47.5</v>
      </c>
      <c r="BQ29" s="370">
        <f t="shared" si="23"/>
        <v>26.348385460903181</v>
      </c>
      <c r="BR29" s="370">
        <f t="shared" si="24"/>
        <v>12</v>
      </c>
      <c r="BS29" s="370">
        <f t="shared" si="25"/>
        <v>0</v>
      </c>
      <c r="BT29" s="370" cm="1">
        <f t="array" ref="BT29">IF($X29&lt;=$O$17,_xlfn.IFS(W29&lt;$F$18+1,$P$106,W29=$F$18+1,$P$107,W29&gt;$F$18,$P$108),0)+CA29</f>
        <v>21.945</v>
      </c>
      <c r="BU29" s="371">
        <f t="shared" si="46"/>
        <v>107.79338546090318</v>
      </c>
      <c r="BV29" s="371">
        <f t="shared" si="64"/>
        <v>89.109041460714451</v>
      </c>
      <c r="BW29" s="118">
        <f t="shared" si="54"/>
        <v>0</v>
      </c>
      <c r="BY29" s="266">
        <f t="shared" si="27"/>
        <v>-142.5</v>
      </c>
      <c r="BZ29" s="266">
        <f t="shared" si="28"/>
        <v>1567.5</v>
      </c>
      <c r="CA29" s="263">
        <f t="shared" si="47"/>
        <v>21.945</v>
      </c>
      <c r="CB29" s="265"/>
      <c r="CC29" s="263" cm="1">
        <f t="array" ref="CC29">SUM(BJ29:BM29, -BP29:BT29,BY29)</f>
        <v>-127.21699322244669</v>
      </c>
      <c r="CD29" s="263">
        <f t="shared" si="48"/>
        <v>0</v>
      </c>
      <c r="CE29" s="263">
        <f t="shared" si="49"/>
        <v>0</v>
      </c>
      <c r="CF29" s="263">
        <f t="shared" si="50"/>
        <v>-67.526180454792865</v>
      </c>
      <c r="CG29" s="263">
        <f t="shared" si="51"/>
        <v>1043.8919213389049</v>
      </c>
      <c r="CH29" s="263">
        <f t="shared" si="29"/>
        <v>-1183.7078039655601</v>
      </c>
      <c r="CI29" s="263">
        <f t="shared" si="52"/>
        <v>0</v>
      </c>
      <c r="CJ29" s="263">
        <f t="shared" si="53"/>
        <v>0</v>
      </c>
      <c r="CK29" s="21"/>
    </row>
    <row r="30" spans="1:89" ht="13.5" customHeight="1" x14ac:dyDescent="0.45">
      <c r="F30" s="385"/>
      <c r="V30" s="105">
        <f t="shared" si="55"/>
        <v>50860</v>
      </c>
      <c r="W30" s="366">
        <f t="shared" si="31"/>
        <v>13</v>
      </c>
      <c r="X30" s="366" t="str">
        <f t="shared" si="32"/>
        <v>維持管理・運営期間</v>
      </c>
      <c r="Y30" s="367">
        <f t="shared" si="0"/>
        <v>0</v>
      </c>
      <c r="Z30" s="368">
        <f t="shared" si="1"/>
        <v>0</v>
      </c>
      <c r="AA30" s="368">
        <f t="shared" si="2"/>
        <v>0</v>
      </c>
      <c r="AB30" s="107">
        <f t="shared" si="3"/>
        <v>0</v>
      </c>
      <c r="AC30" s="365">
        <f t="shared" si="33"/>
        <v>0</v>
      </c>
      <c r="AD30" s="367">
        <f t="shared" si="4"/>
        <v>0</v>
      </c>
      <c r="AE30" s="368">
        <f t="shared" si="5"/>
        <v>47.5</v>
      </c>
      <c r="AF30" s="107">
        <f t="shared" si="6"/>
        <v>0</v>
      </c>
      <c r="AG30" s="368">
        <f>IF(AND($W30&gt;$O$83, SUM($AA$17:AA29)&gt;0,SUM($AG$17:AG29)&lt;$O$79),$O$82,0)</f>
        <v>64.125</v>
      </c>
      <c r="AH30" s="370">
        <f>IF(SUM($AA$18:$AA29)&gt;0,($O$79-SUM($AG$18:$AG29))*$F$83,0)</f>
        <v>17.506125000000001</v>
      </c>
      <c r="AI30" s="365">
        <f t="shared" si="34"/>
        <v>129.131125</v>
      </c>
      <c r="AJ30" s="370">
        <f t="shared" si="56"/>
        <v>-129.131125</v>
      </c>
      <c r="AK30" s="115">
        <f t="shared" si="35"/>
        <v>6.9627367541244674</v>
      </c>
      <c r="AL30" s="103"/>
      <c r="AM30" s="371">
        <f t="shared" si="8"/>
        <v>-79.68348291739909</v>
      </c>
      <c r="AN30" s="110"/>
      <c r="AO30" s="369">
        <f t="shared" si="9"/>
        <v>0</v>
      </c>
      <c r="AP30" s="370">
        <f t="shared" si="10"/>
        <v>0</v>
      </c>
      <c r="AQ30" s="370">
        <f t="shared" si="11"/>
        <v>0</v>
      </c>
      <c r="AR30" s="107">
        <f t="shared" si="12"/>
        <v>19.95</v>
      </c>
      <c r="AS30" s="365">
        <f t="shared" si="36"/>
        <v>19.95</v>
      </c>
      <c r="AT30" s="368">
        <f t="shared" si="13"/>
        <v>0</v>
      </c>
      <c r="AU30" s="368">
        <f t="shared" si="14"/>
        <v>76.619168879363841</v>
      </c>
      <c r="AV30" s="368">
        <f t="shared" si="15"/>
        <v>38.658258042253777</v>
      </c>
      <c r="AW30" s="368">
        <f t="shared" si="16"/>
        <v>47.5</v>
      </c>
      <c r="AX30" s="368">
        <f t="shared" si="17"/>
        <v>6</v>
      </c>
      <c r="AY30" s="368">
        <f t="shared" si="18"/>
        <v>32.129999999999995</v>
      </c>
      <c r="AZ30" s="368">
        <f>IF(AND($W30&gt;$P$83, SUM($AQ$17:AQ29)&gt;0,SUM($AZ$17:AZ29)&lt;$P$79),$P$82,0)</f>
        <v>64.125</v>
      </c>
      <c r="BA30" s="368">
        <f>IF(SUM($AQ$18:$AQ29)&gt;0,($P$79-SUM($AZ$18:$AZ29))*$F$83,0)</f>
        <v>17.506125000000001</v>
      </c>
      <c r="BB30" s="365">
        <f t="shared" si="37"/>
        <v>282.53855192161762</v>
      </c>
      <c r="BC30" s="370">
        <f t="shared" si="57"/>
        <v>-262.58855192161764</v>
      </c>
      <c r="BD30" s="371">
        <f t="shared" si="19"/>
        <v>-162.03661504033815</v>
      </c>
      <c r="BE30" s="111"/>
      <c r="BF30" s="180">
        <f t="shared" si="39"/>
        <v>0.61707417880390258</v>
      </c>
      <c r="BH30" s="369">
        <f t="shared" si="58"/>
        <v>0</v>
      </c>
      <c r="BI30" s="369">
        <f t="shared" si="59"/>
        <v>76.619168879363841</v>
      </c>
      <c r="BJ30" s="370">
        <f t="shared" si="60"/>
        <v>38.658258042253777</v>
      </c>
      <c r="BK30" s="370">
        <f t="shared" si="61"/>
        <v>47.5</v>
      </c>
      <c r="BL30" s="370">
        <f t="shared" si="62"/>
        <v>32.129999999999995</v>
      </c>
      <c r="BM30" s="107">
        <f t="shared" si="20"/>
        <v>0</v>
      </c>
      <c r="BN30" s="371">
        <f t="shared" si="63"/>
        <v>194.90742692161763</v>
      </c>
      <c r="BO30" s="370">
        <f t="shared" si="21"/>
        <v>0</v>
      </c>
      <c r="BP30" s="370">
        <f t="shared" si="22"/>
        <v>47.5</v>
      </c>
      <c r="BQ30" s="370">
        <f t="shared" si="23"/>
        <v>24.468861754124468</v>
      </c>
      <c r="BR30" s="370">
        <f t="shared" si="24"/>
        <v>12</v>
      </c>
      <c r="BS30" s="370">
        <f t="shared" si="25"/>
        <v>0</v>
      </c>
      <c r="BT30" s="370" cm="1">
        <f t="array" ref="BT30">IF($X30&lt;=$O$17,_xlfn.IFS(W30&lt;$F$18+1,$P$106,W30=$F$18+1,$P$107,W30&gt;$F$18,$P$108),0)+CA30</f>
        <v>19.95</v>
      </c>
      <c r="BU30" s="371">
        <f t="shared" si="46"/>
        <v>103.91886175412448</v>
      </c>
      <c r="BV30" s="371">
        <f t="shared" si="64"/>
        <v>90.988565167493149</v>
      </c>
      <c r="BW30" s="118">
        <f t="shared" si="54"/>
        <v>0</v>
      </c>
      <c r="BY30" s="266">
        <f t="shared" si="27"/>
        <v>-142.5</v>
      </c>
      <c r="BZ30" s="266">
        <f t="shared" si="28"/>
        <v>1425</v>
      </c>
      <c r="CA30" s="263">
        <f t="shared" si="47"/>
        <v>19.95</v>
      </c>
      <c r="CB30" s="265"/>
      <c r="CC30" s="263" cm="1">
        <f t="array" ref="CC30">SUM(BJ30:BM30, -BP30:BT30,BY30)</f>
        <v>-128.13060371187069</v>
      </c>
      <c r="CD30" s="263">
        <f t="shared" si="48"/>
        <v>0</v>
      </c>
      <c r="CE30" s="263">
        <f t="shared" si="49"/>
        <v>0</v>
      </c>
      <c r="CF30" s="263">
        <f t="shared" si="50"/>
        <v>-69.405704161571563</v>
      </c>
      <c r="CG30" s="263">
        <f t="shared" si="51"/>
        <v>988.85561346546274</v>
      </c>
      <c r="CH30" s="263">
        <f t="shared" si="29"/>
        <v>-1311.8384076774307</v>
      </c>
      <c r="CI30" s="263">
        <f t="shared" si="52"/>
        <v>0</v>
      </c>
      <c r="CJ30" s="263">
        <f t="shared" si="53"/>
        <v>0</v>
      </c>
      <c r="CK30" s="21"/>
    </row>
    <row r="31" spans="1:89" ht="13.5" customHeight="1" x14ac:dyDescent="0.3">
      <c r="B31" s="223" t="s">
        <v>151</v>
      </c>
      <c r="D31" s="400"/>
      <c r="E31" s="21" t="s">
        <v>55</v>
      </c>
      <c r="F31" s="21" t="s">
        <v>152</v>
      </c>
      <c r="I31" s="214"/>
      <c r="J31" s="223" t="s">
        <v>151</v>
      </c>
      <c r="O31" s="21" t="s">
        <v>55</v>
      </c>
      <c r="P31" s="21" t="s">
        <v>98</v>
      </c>
      <c r="V31" s="105">
        <f t="shared" si="55"/>
        <v>51226</v>
      </c>
      <c r="W31" s="366">
        <f t="shared" si="31"/>
        <v>14</v>
      </c>
      <c r="X31" s="366" t="str">
        <f t="shared" si="32"/>
        <v>維持管理・運営期間</v>
      </c>
      <c r="Y31" s="367">
        <f t="shared" si="0"/>
        <v>0</v>
      </c>
      <c r="Z31" s="368">
        <f t="shared" si="1"/>
        <v>0</v>
      </c>
      <c r="AA31" s="368">
        <f t="shared" si="2"/>
        <v>0</v>
      </c>
      <c r="AB31" s="107">
        <f t="shared" si="3"/>
        <v>0</v>
      </c>
      <c r="AC31" s="365">
        <f t="shared" si="33"/>
        <v>0</v>
      </c>
      <c r="AD31" s="367">
        <f t="shared" si="4"/>
        <v>0</v>
      </c>
      <c r="AE31" s="368">
        <f t="shared" si="5"/>
        <v>47.5</v>
      </c>
      <c r="AF31" s="107">
        <f t="shared" si="6"/>
        <v>0</v>
      </c>
      <c r="AG31" s="368">
        <f>IF(AND($W31&gt;$O$83, SUM($AA$17:AA30)&gt;0,SUM($AG$17:AG30)&lt;$O$79),$O$82,0)</f>
        <v>64.125</v>
      </c>
      <c r="AH31" s="370">
        <f>IF(SUM($AA$18:$AA30)&gt;0,($O$79-SUM($AG$18:$AG30))*$F$83,0)</f>
        <v>16.255687500000001</v>
      </c>
      <c r="AI31" s="365">
        <f t="shared" si="34"/>
        <v>127.88068749999999</v>
      </c>
      <c r="AJ31" s="370">
        <f t="shared" si="56"/>
        <v>-127.88068749999999</v>
      </c>
      <c r="AK31" s="115">
        <f t="shared" si="35"/>
        <v>6.2813358844912877</v>
      </c>
      <c r="AL31" s="103"/>
      <c r="AM31" s="371">
        <f t="shared" si="8"/>
        <v>-76.035156127030902</v>
      </c>
      <c r="AN31" s="110"/>
      <c r="AO31" s="369">
        <f t="shared" si="9"/>
        <v>0</v>
      </c>
      <c r="AP31" s="370">
        <f t="shared" si="10"/>
        <v>0</v>
      </c>
      <c r="AQ31" s="370">
        <f t="shared" si="11"/>
        <v>0</v>
      </c>
      <c r="AR31" s="107">
        <f t="shared" si="12"/>
        <v>17.955000000000002</v>
      </c>
      <c r="AS31" s="365">
        <f t="shared" si="36"/>
        <v>17.955000000000002</v>
      </c>
      <c r="AT31" s="368">
        <f t="shared" si="13"/>
        <v>0</v>
      </c>
      <c r="AU31" s="368">
        <f t="shared" si="14"/>
        <v>79.517978514745693</v>
      </c>
      <c r="AV31" s="368">
        <f t="shared" si="15"/>
        <v>35.759448406871918</v>
      </c>
      <c r="AW31" s="368">
        <f t="shared" si="16"/>
        <v>47.5</v>
      </c>
      <c r="AX31" s="368">
        <f t="shared" si="17"/>
        <v>6</v>
      </c>
      <c r="AY31" s="368">
        <f t="shared" si="18"/>
        <v>30.135000000000002</v>
      </c>
      <c r="AZ31" s="368">
        <f>IF(AND($W31&gt;$P$83, SUM($AQ$17:AQ30)&gt;0,SUM($AZ$17:AZ30)&lt;$P$79),$P$82,0)</f>
        <v>64.125</v>
      </c>
      <c r="BA31" s="368">
        <f>IF(SUM($AQ$18:$AQ30)&gt;0,($P$79-SUM($AZ$18:$AZ30))*$F$83,0)</f>
        <v>16.255687500000001</v>
      </c>
      <c r="BB31" s="365">
        <f t="shared" si="37"/>
        <v>279.29311442161759</v>
      </c>
      <c r="BC31" s="370">
        <f t="shared" si="57"/>
        <v>-261.3381144216176</v>
      </c>
      <c r="BD31" s="371">
        <f t="shared" si="19"/>
        <v>-155.38612374125344</v>
      </c>
      <c r="BE31" s="111"/>
      <c r="BF31" s="180">
        <f t="shared" si="39"/>
        <v>0.59457888140483217</v>
      </c>
      <c r="BH31" s="369">
        <f t="shared" si="58"/>
        <v>0</v>
      </c>
      <c r="BI31" s="369">
        <f t="shared" si="59"/>
        <v>79.517978514745693</v>
      </c>
      <c r="BJ31" s="370">
        <f t="shared" si="60"/>
        <v>35.759448406871918</v>
      </c>
      <c r="BK31" s="370">
        <f t="shared" si="61"/>
        <v>47.5</v>
      </c>
      <c r="BL31" s="370">
        <f t="shared" si="62"/>
        <v>30.135000000000002</v>
      </c>
      <c r="BM31" s="107">
        <f t="shared" si="20"/>
        <v>0</v>
      </c>
      <c r="BN31" s="371">
        <f t="shared" si="63"/>
        <v>192.91242692161759</v>
      </c>
      <c r="BO31" s="370">
        <f t="shared" si="21"/>
        <v>0</v>
      </c>
      <c r="BP31" s="370">
        <f t="shared" si="22"/>
        <v>47.5</v>
      </c>
      <c r="BQ31" s="370">
        <f t="shared" si="23"/>
        <v>22.537023384491288</v>
      </c>
      <c r="BR31" s="370">
        <f t="shared" si="24"/>
        <v>12</v>
      </c>
      <c r="BS31" s="370">
        <f t="shared" si="25"/>
        <v>0</v>
      </c>
      <c r="BT31" s="370" cm="1">
        <f t="array" ref="BT31">IF($X31&lt;=$O$17,_xlfn.IFS(W31&lt;$F$18+1,$P$106,W31=$F$18+1,$P$107,W31&gt;$F$18,$P$108),0)+CA31</f>
        <v>17.955000000000002</v>
      </c>
      <c r="BU31" s="371">
        <f t="shared" si="46"/>
        <v>99.99202338449129</v>
      </c>
      <c r="BV31" s="371">
        <f t="shared" si="64"/>
        <v>92.920403537126305</v>
      </c>
      <c r="BW31" s="118">
        <f t="shared" si="54"/>
        <v>0</v>
      </c>
      <c r="BY31" s="266">
        <f t="shared" si="27"/>
        <v>-142.5</v>
      </c>
      <c r="BZ31" s="266">
        <f t="shared" si="28"/>
        <v>1282.5</v>
      </c>
      <c r="CA31" s="263">
        <f t="shared" si="47"/>
        <v>17.955000000000002</v>
      </c>
      <c r="CB31" s="265"/>
      <c r="CC31" s="263" cm="1">
        <f t="array" ref="CC31">SUM(BJ31:BM31, -BP31:BT31,BY31)</f>
        <v>-129.09757497761939</v>
      </c>
      <c r="CD31" s="263">
        <f t="shared" si="48"/>
        <v>0</v>
      </c>
      <c r="CE31" s="263">
        <f t="shared" si="49"/>
        <v>0</v>
      </c>
      <c r="CF31" s="263">
        <f t="shared" si="50"/>
        <v>-71.337542531204747</v>
      </c>
      <c r="CG31" s="263">
        <f t="shared" si="51"/>
        <v>930.92049595663866</v>
      </c>
      <c r="CH31" s="263">
        <f t="shared" si="29"/>
        <v>-1440.9359826550501</v>
      </c>
      <c r="CI31" s="263">
        <f t="shared" si="52"/>
        <v>0</v>
      </c>
      <c r="CJ31" s="263">
        <f t="shared" si="53"/>
        <v>0</v>
      </c>
      <c r="CK31" s="21"/>
    </row>
    <row r="32" spans="1:89" ht="15.75" customHeight="1" x14ac:dyDescent="0.45">
      <c r="C32" s="119" t="s">
        <v>153</v>
      </c>
      <c r="D32" s="276" t="s">
        <v>21</v>
      </c>
      <c r="E32" s="156">
        <f>事業費用概算!G6</f>
        <v>0</v>
      </c>
      <c r="F32" s="438">
        <f>E32</f>
        <v>0</v>
      </c>
      <c r="K32" s="21" t="s">
        <v>154</v>
      </c>
      <c r="N32" s="191" t="s">
        <v>21</v>
      </c>
      <c r="O32" s="168">
        <f>E33*$F$65+E32</f>
        <v>2850</v>
      </c>
      <c r="P32" s="168">
        <f>SUM(F32:F33)*(1-F66)</f>
        <v>2850</v>
      </c>
      <c r="Q32" s="21" t="s">
        <v>155</v>
      </c>
      <c r="V32" s="105">
        <f t="shared" si="55"/>
        <v>51591</v>
      </c>
      <c r="W32" s="366">
        <f t="shared" si="31"/>
        <v>15</v>
      </c>
      <c r="X32" s="366" t="str">
        <f t="shared" si="32"/>
        <v>維持管理・運営期間</v>
      </c>
      <c r="Y32" s="367">
        <f t="shared" si="0"/>
        <v>0</v>
      </c>
      <c r="Z32" s="368">
        <f t="shared" si="1"/>
        <v>0</v>
      </c>
      <c r="AA32" s="368">
        <f t="shared" si="2"/>
        <v>0</v>
      </c>
      <c r="AB32" s="107">
        <f t="shared" si="3"/>
        <v>0</v>
      </c>
      <c r="AC32" s="365">
        <f t="shared" si="33"/>
        <v>0</v>
      </c>
      <c r="AD32" s="367">
        <f t="shared" si="4"/>
        <v>0</v>
      </c>
      <c r="AE32" s="368">
        <f t="shared" si="5"/>
        <v>47.5</v>
      </c>
      <c r="AF32" s="107">
        <f t="shared" si="6"/>
        <v>0</v>
      </c>
      <c r="AG32" s="368">
        <f>IF(AND($W32&gt;$O$83, SUM($AA$17:AA31)&gt;0,SUM($AG$17:AG31)&lt;$O$79),$O$82,0)</f>
        <v>64.125</v>
      </c>
      <c r="AH32" s="370">
        <f>IF(SUM($AA$18:$AA31)&gt;0,($O$79-SUM($AG$18:$AG31))*$F$83,0)</f>
        <v>15.00525</v>
      </c>
      <c r="AI32" s="365">
        <f t="shared" si="34"/>
        <v>126.63025</v>
      </c>
      <c r="AJ32" s="370">
        <f t="shared" si="56"/>
        <v>-126.63025</v>
      </c>
      <c r="AK32" s="115">
        <f t="shared" si="35"/>
        <v>5.5461642256777353</v>
      </c>
      <c r="AL32" s="103"/>
      <c r="AM32" s="371">
        <f t="shared" si="8"/>
        <v>-72.546931780047927</v>
      </c>
      <c r="AN32" s="110"/>
      <c r="AO32" s="369">
        <f t="shared" si="9"/>
        <v>0</v>
      </c>
      <c r="AP32" s="370">
        <f t="shared" si="10"/>
        <v>0</v>
      </c>
      <c r="AQ32" s="370">
        <f t="shared" si="11"/>
        <v>0</v>
      </c>
      <c r="AR32" s="107">
        <f t="shared" si="12"/>
        <v>15.96</v>
      </c>
      <c r="AS32" s="365">
        <f t="shared" si="36"/>
        <v>15.96</v>
      </c>
      <c r="AT32" s="368">
        <f t="shared" si="13"/>
        <v>0</v>
      </c>
      <c r="AU32" s="368">
        <f t="shared" si="14"/>
        <v>82.526461713872578</v>
      </c>
      <c r="AV32" s="368">
        <f t="shared" si="15"/>
        <v>32.750965207745033</v>
      </c>
      <c r="AW32" s="368">
        <f t="shared" si="16"/>
        <v>47.5</v>
      </c>
      <c r="AX32" s="368">
        <f t="shared" si="17"/>
        <v>6</v>
      </c>
      <c r="AY32" s="368">
        <f t="shared" si="18"/>
        <v>28.14</v>
      </c>
      <c r="AZ32" s="368">
        <f>IF(AND($W32&gt;$P$83, SUM($AQ$17:AQ31)&gt;0,SUM($AZ$17:AZ31)&lt;$P$79),$P$82,0)</f>
        <v>64.125</v>
      </c>
      <c r="BA32" s="368">
        <f>IF(SUM($AQ$18:$AQ31)&gt;0,($P$79-SUM($AZ$18:$AZ31))*$F$83,0)</f>
        <v>15.00525</v>
      </c>
      <c r="BB32" s="365">
        <f t="shared" si="37"/>
        <v>276.04767692161761</v>
      </c>
      <c r="BC32" s="370">
        <f t="shared" si="57"/>
        <v>-260.08767692161763</v>
      </c>
      <c r="BD32" s="371">
        <f t="shared" si="19"/>
        <v>-149.00517810289199</v>
      </c>
      <c r="BE32" s="111"/>
      <c r="BF32" s="180">
        <f t="shared" si="39"/>
        <v>0.57290364490355128</v>
      </c>
      <c r="BH32" s="369">
        <f t="shared" si="58"/>
        <v>0</v>
      </c>
      <c r="BI32" s="369">
        <f t="shared" si="59"/>
        <v>82.526461713872578</v>
      </c>
      <c r="BJ32" s="370">
        <f t="shared" si="60"/>
        <v>32.750965207745033</v>
      </c>
      <c r="BK32" s="370">
        <f t="shared" si="61"/>
        <v>47.5</v>
      </c>
      <c r="BL32" s="370">
        <f t="shared" si="62"/>
        <v>28.14</v>
      </c>
      <c r="BM32" s="107">
        <f t="shared" si="20"/>
        <v>0</v>
      </c>
      <c r="BN32" s="371">
        <f t="shared" si="63"/>
        <v>190.91742692161762</v>
      </c>
      <c r="BO32" s="370">
        <f t="shared" si="21"/>
        <v>0</v>
      </c>
      <c r="BP32" s="370">
        <f t="shared" si="22"/>
        <v>47.5</v>
      </c>
      <c r="BQ32" s="370">
        <f t="shared" si="23"/>
        <v>20.551414225677735</v>
      </c>
      <c r="BR32" s="370">
        <f t="shared" si="24"/>
        <v>12</v>
      </c>
      <c r="BS32" s="370">
        <f t="shared" si="25"/>
        <v>0</v>
      </c>
      <c r="BT32" s="370" cm="1">
        <f t="array" ref="BT32">IF($X32&lt;=$O$17,_xlfn.IFS(W32&lt;$F$18+1,$P$106,W32=$F$18+1,$P$107,W32&gt;$F$18,$P$108),0)+CA32</f>
        <v>15.96</v>
      </c>
      <c r="BU32" s="371">
        <f t="shared" si="46"/>
        <v>96.011414225677726</v>
      </c>
      <c r="BV32" s="371">
        <f t="shared" si="64"/>
        <v>94.906012695939893</v>
      </c>
      <c r="BW32" s="118">
        <f t="shared" si="54"/>
        <v>0</v>
      </c>
      <c r="BY32" s="266">
        <f t="shared" si="27"/>
        <v>-142.5</v>
      </c>
      <c r="BZ32" s="266">
        <f t="shared" si="28"/>
        <v>1140</v>
      </c>
      <c r="CA32" s="263">
        <f t="shared" si="47"/>
        <v>15.96</v>
      </c>
      <c r="CB32" s="265"/>
      <c r="CC32" s="263" cm="1">
        <f t="array" ref="CC32">SUM(BJ32:BM32, -BP32:BT32,BY32)</f>
        <v>-130.12044901793271</v>
      </c>
      <c r="CD32" s="263">
        <f t="shared" si="48"/>
        <v>0</v>
      </c>
      <c r="CE32" s="263">
        <f t="shared" si="49"/>
        <v>0</v>
      </c>
      <c r="CF32" s="263">
        <f t="shared" si="50"/>
        <v>-73.323151690018292</v>
      </c>
      <c r="CG32" s="263">
        <f t="shared" si="51"/>
        <v>869.97689524868758</v>
      </c>
      <c r="CH32" s="263">
        <f t="shared" si="29"/>
        <v>-1571.0564316729829</v>
      </c>
      <c r="CI32" s="263">
        <f t="shared" si="52"/>
        <v>0</v>
      </c>
      <c r="CJ32" s="263">
        <f t="shared" si="53"/>
        <v>0</v>
      </c>
      <c r="CK32" s="21"/>
    </row>
    <row r="33" spans="2:89" ht="15.75" customHeight="1" x14ac:dyDescent="0.45">
      <c r="C33" s="119" t="s">
        <v>156</v>
      </c>
      <c r="D33" s="276" t="s">
        <v>21</v>
      </c>
      <c r="E33" s="156">
        <f>事業費用概算!G7</f>
        <v>3000</v>
      </c>
      <c r="F33" s="438">
        <f>E33</f>
        <v>3000</v>
      </c>
      <c r="K33" s="119" t="s">
        <v>157</v>
      </c>
      <c r="M33" s="119"/>
      <c r="N33" s="191" t="s">
        <v>21</v>
      </c>
      <c r="O33" s="147">
        <f>O32*E35</f>
        <v>2850</v>
      </c>
      <c r="P33" s="147">
        <f>$P$32*F35</f>
        <v>1425</v>
      </c>
      <c r="V33" s="105">
        <f t="shared" si="55"/>
        <v>51956</v>
      </c>
      <c r="W33" s="366">
        <f t="shared" si="31"/>
        <v>16</v>
      </c>
      <c r="X33" s="366" t="str">
        <f t="shared" si="32"/>
        <v>維持管理・運営期間</v>
      </c>
      <c r="Y33" s="367">
        <f t="shared" si="0"/>
        <v>0</v>
      </c>
      <c r="Z33" s="368">
        <f t="shared" si="1"/>
        <v>0</v>
      </c>
      <c r="AA33" s="368">
        <f t="shared" si="2"/>
        <v>0</v>
      </c>
      <c r="AB33" s="107">
        <f t="shared" si="3"/>
        <v>0</v>
      </c>
      <c r="AC33" s="365">
        <f t="shared" si="33"/>
        <v>0</v>
      </c>
      <c r="AD33" s="367">
        <f t="shared" si="4"/>
        <v>0</v>
      </c>
      <c r="AE33" s="368">
        <f t="shared" si="5"/>
        <v>47.5</v>
      </c>
      <c r="AF33" s="107">
        <f t="shared" si="6"/>
        <v>0</v>
      </c>
      <c r="AG33" s="368">
        <f>IF(AND($W33&gt;$O$83, SUM($AA$17:AA32)&gt;0,SUM($AG$17:AG32)&lt;$O$79),$O$82,0)</f>
        <v>64.125</v>
      </c>
      <c r="AH33" s="370">
        <f>IF(SUM($AA$18:$AA32)&gt;0,($O$79-SUM($AG$18:$AG32))*$F$83,0)</f>
        <v>13.7548125</v>
      </c>
      <c r="AI33" s="365">
        <f t="shared" si="34"/>
        <v>125.3798125</v>
      </c>
      <c r="AJ33" s="370">
        <f t="shared" si="56"/>
        <v>-125.3798125</v>
      </c>
      <c r="AK33" s="115">
        <f t="shared" si="35"/>
        <v>4.7557251215377718</v>
      </c>
      <c r="AL33" s="103"/>
      <c r="AM33" s="371">
        <f t="shared" si="8"/>
        <v>-69.211985325759088</v>
      </c>
      <c r="AN33" s="110"/>
      <c r="AO33" s="369">
        <f t="shared" si="9"/>
        <v>0</v>
      </c>
      <c r="AP33" s="370">
        <f t="shared" si="10"/>
        <v>0</v>
      </c>
      <c r="AQ33" s="370">
        <f t="shared" si="11"/>
        <v>0</v>
      </c>
      <c r="AR33" s="107">
        <f t="shared" si="12"/>
        <v>13.965</v>
      </c>
      <c r="AS33" s="365">
        <f t="shared" si="36"/>
        <v>13.965</v>
      </c>
      <c r="AT33" s="368">
        <f t="shared" si="13"/>
        <v>0</v>
      </c>
      <c r="AU33" s="368">
        <f t="shared" si="14"/>
        <v>85.648767866355243</v>
      </c>
      <c r="AV33" s="368">
        <f t="shared" si="15"/>
        <v>29.628659055262382</v>
      </c>
      <c r="AW33" s="368">
        <f t="shared" si="16"/>
        <v>47.5</v>
      </c>
      <c r="AX33" s="368">
        <f t="shared" si="17"/>
        <v>6</v>
      </c>
      <c r="AY33" s="368">
        <f t="shared" si="18"/>
        <v>26.145</v>
      </c>
      <c r="AZ33" s="368">
        <f>IF(AND($W33&gt;$P$83, SUM($AQ$17:AQ32)&gt;0,SUM($AZ$17:AZ32)&lt;$P$79),$P$82,0)</f>
        <v>64.125</v>
      </c>
      <c r="BA33" s="368">
        <f>IF(SUM($AQ$18:$AQ32)&gt;0,($P$79-SUM($AZ$18:$AZ32))*$F$83,0)</f>
        <v>13.7548125</v>
      </c>
      <c r="BB33" s="365">
        <f t="shared" si="37"/>
        <v>272.80223942161768</v>
      </c>
      <c r="BC33" s="370">
        <f t="shared" si="57"/>
        <v>-258.83723942161771</v>
      </c>
      <c r="BD33" s="371">
        <f t="shared" si="19"/>
        <v>-142.88296384722219</v>
      </c>
      <c r="BE33" s="111"/>
      <c r="BF33" s="180">
        <f t="shared" si="39"/>
        <v>0.55201857416846178</v>
      </c>
      <c r="BH33" s="369">
        <f t="shared" si="58"/>
        <v>0</v>
      </c>
      <c r="BI33" s="369">
        <f t="shared" si="59"/>
        <v>85.648767866355243</v>
      </c>
      <c r="BJ33" s="370">
        <f t="shared" si="60"/>
        <v>29.628659055262382</v>
      </c>
      <c r="BK33" s="370">
        <f t="shared" si="61"/>
        <v>47.5</v>
      </c>
      <c r="BL33" s="370">
        <f t="shared" si="62"/>
        <v>26.145</v>
      </c>
      <c r="BM33" s="107">
        <f t="shared" si="20"/>
        <v>0</v>
      </c>
      <c r="BN33" s="371">
        <f t="shared" si="63"/>
        <v>188.92242692161764</v>
      </c>
      <c r="BO33" s="370">
        <f t="shared" si="21"/>
        <v>0</v>
      </c>
      <c r="BP33" s="370">
        <f t="shared" si="22"/>
        <v>47.5</v>
      </c>
      <c r="BQ33" s="370">
        <f t="shared" si="23"/>
        <v>18.510537621537772</v>
      </c>
      <c r="BR33" s="370">
        <f t="shared" si="24"/>
        <v>12</v>
      </c>
      <c r="BS33" s="370">
        <f t="shared" si="25"/>
        <v>0</v>
      </c>
      <c r="BT33" s="370" cm="1">
        <f t="array" ref="BT33">IF($X33&lt;=$O$17,_xlfn.IFS(W33&lt;$F$18+1,$P$106,W33=$F$18+1,$P$107,W33&gt;$F$18,$P$108),0)+CA33</f>
        <v>13.965</v>
      </c>
      <c r="BU33" s="371">
        <f t="shared" si="46"/>
        <v>91.975537621537768</v>
      </c>
      <c r="BV33" s="371">
        <f t="shared" si="64"/>
        <v>96.946889300079874</v>
      </c>
      <c r="BW33" s="118">
        <f t="shared" si="54"/>
        <v>0</v>
      </c>
      <c r="BY33" s="266">
        <f t="shared" si="27"/>
        <v>-142.5</v>
      </c>
      <c r="BZ33" s="266">
        <f t="shared" si="28"/>
        <v>997.5</v>
      </c>
      <c r="CA33" s="263">
        <f t="shared" si="47"/>
        <v>13.965</v>
      </c>
      <c r="CB33" s="265"/>
      <c r="CC33" s="263" cm="1">
        <f t="array" ref="CC33">SUM(BJ33:BM33, -BP33:BT33,BY33)</f>
        <v>-131.20187856627541</v>
      </c>
      <c r="CD33" s="263">
        <f t="shared" si="48"/>
        <v>0</v>
      </c>
      <c r="CE33" s="263">
        <f t="shared" si="49"/>
        <v>0</v>
      </c>
      <c r="CF33" s="263">
        <f t="shared" si="50"/>
        <v>-75.36402829415826</v>
      </c>
      <c r="CG33" s="263">
        <f t="shared" si="51"/>
        <v>805.91098838825383</v>
      </c>
      <c r="CH33" s="263">
        <f t="shared" si="29"/>
        <v>-1702.2583102392582</v>
      </c>
      <c r="CI33" s="263">
        <f t="shared" si="52"/>
        <v>0</v>
      </c>
      <c r="CJ33" s="263">
        <f t="shared" si="53"/>
        <v>0</v>
      </c>
      <c r="CK33" s="21"/>
    </row>
    <row r="34" spans="2:89" ht="15.75" customHeight="1" x14ac:dyDescent="0.3">
      <c r="E34" s="22"/>
      <c r="F34" s="22"/>
      <c r="K34" s="119" t="s">
        <v>158</v>
      </c>
      <c r="M34" s="119"/>
      <c r="N34" s="191" t="s">
        <v>21</v>
      </c>
      <c r="O34" s="436">
        <f>O33*E36</f>
        <v>0</v>
      </c>
      <c r="P34" s="436">
        <f>$P$32*F36</f>
        <v>1425</v>
      </c>
      <c r="V34" s="105">
        <f t="shared" si="55"/>
        <v>52321</v>
      </c>
      <c r="W34" s="366">
        <f t="shared" si="31"/>
        <v>17</v>
      </c>
      <c r="X34" s="366" t="str">
        <f t="shared" si="32"/>
        <v>維持管理・運営期間</v>
      </c>
      <c r="Y34" s="367">
        <f t="shared" si="0"/>
        <v>0</v>
      </c>
      <c r="Z34" s="368">
        <f t="shared" si="1"/>
        <v>0</v>
      </c>
      <c r="AA34" s="368">
        <f t="shared" si="2"/>
        <v>0</v>
      </c>
      <c r="AB34" s="107">
        <f t="shared" si="3"/>
        <v>0</v>
      </c>
      <c r="AC34" s="365">
        <f t="shared" si="33"/>
        <v>0</v>
      </c>
      <c r="AD34" s="367">
        <f t="shared" si="4"/>
        <v>0</v>
      </c>
      <c r="AE34" s="368">
        <f t="shared" si="5"/>
        <v>47.5</v>
      </c>
      <c r="AF34" s="107">
        <f t="shared" si="6"/>
        <v>0</v>
      </c>
      <c r="AG34" s="368">
        <f>IF(AND($W34&gt;$O$83, SUM($AA$17:AA33)&gt;0,SUM($AG$17:AG33)&lt;$O$79),$O$82,0)</f>
        <v>64.125</v>
      </c>
      <c r="AH34" s="370">
        <f>IF(SUM($AA$18:$AA33)&gt;0,($O$79-SUM($AG$18:$AG33))*$F$83,0)</f>
        <v>12.504375</v>
      </c>
      <c r="AI34" s="365">
        <f t="shared" si="34"/>
        <v>124.129375</v>
      </c>
      <c r="AJ34" s="370">
        <f t="shared" si="56"/>
        <v>-124.129375</v>
      </c>
      <c r="AK34" s="115">
        <f t="shared" si="35"/>
        <v>3.9084802579981641</v>
      </c>
      <c r="AL34" s="103"/>
      <c r="AM34" s="371">
        <f t="shared" si="8"/>
        <v>-66.023777020142234</v>
      </c>
      <c r="AN34" s="110"/>
      <c r="AO34" s="369">
        <f t="shared" si="9"/>
        <v>0</v>
      </c>
      <c r="AP34" s="370">
        <f t="shared" si="10"/>
        <v>0</v>
      </c>
      <c r="AQ34" s="370">
        <f t="shared" si="11"/>
        <v>0</v>
      </c>
      <c r="AR34" s="107">
        <f t="shared" si="12"/>
        <v>11.97</v>
      </c>
      <c r="AS34" s="365">
        <f t="shared" si="36"/>
        <v>11.97</v>
      </c>
      <c r="AT34" s="368">
        <f t="shared" si="13"/>
        <v>0</v>
      </c>
      <c r="AU34" s="368">
        <f t="shared" si="14"/>
        <v>88.889203349810927</v>
      </c>
      <c r="AV34" s="368">
        <f t="shared" si="15"/>
        <v>26.388223571806698</v>
      </c>
      <c r="AW34" s="368">
        <f t="shared" si="16"/>
        <v>47.5</v>
      </c>
      <c r="AX34" s="368">
        <f t="shared" si="17"/>
        <v>6</v>
      </c>
      <c r="AY34" s="368">
        <f t="shared" si="18"/>
        <v>24.15</v>
      </c>
      <c r="AZ34" s="368">
        <f>IF(AND($W34&gt;$P$83, SUM($AQ$17:AQ33)&gt;0,SUM($AZ$17:AZ33)&lt;$P$79),$P$82,0)</f>
        <v>64.125</v>
      </c>
      <c r="BA34" s="368">
        <f>IF(SUM($AQ$18:$AQ33)&gt;0,($P$79-SUM($AZ$18:$AZ33))*$F$83,0)</f>
        <v>12.504375</v>
      </c>
      <c r="BB34" s="365">
        <f t="shared" si="37"/>
        <v>269.55680192161765</v>
      </c>
      <c r="BC34" s="370">
        <f t="shared" si="57"/>
        <v>-257.58680192161762</v>
      </c>
      <c r="BD34" s="371">
        <f t="shared" si="19"/>
        <v>-137.0090969474746</v>
      </c>
      <c r="BE34" s="111"/>
      <c r="BF34" s="180">
        <f t="shared" si="39"/>
        <v>0.53189486388811869</v>
      </c>
      <c r="BH34" s="369">
        <f t="shared" si="58"/>
        <v>0</v>
      </c>
      <c r="BI34" s="369">
        <f t="shared" si="59"/>
        <v>88.889203349810927</v>
      </c>
      <c r="BJ34" s="370">
        <f t="shared" si="60"/>
        <v>26.388223571806698</v>
      </c>
      <c r="BK34" s="370">
        <f t="shared" si="61"/>
        <v>47.5</v>
      </c>
      <c r="BL34" s="370">
        <f t="shared" si="62"/>
        <v>24.15</v>
      </c>
      <c r="BM34" s="107">
        <f t="shared" si="20"/>
        <v>0</v>
      </c>
      <c r="BN34" s="371">
        <f t="shared" si="63"/>
        <v>186.92742692161764</v>
      </c>
      <c r="BO34" s="370">
        <f t="shared" si="21"/>
        <v>0</v>
      </c>
      <c r="BP34" s="370">
        <f t="shared" si="22"/>
        <v>47.5</v>
      </c>
      <c r="BQ34" s="370">
        <f t="shared" si="23"/>
        <v>16.412855257998164</v>
      </c>
      <c r="BR34" s="370">
        <f t="shared" si="24"/>
        <v>12</v>
      </c>
      <c r="BS34" s="370">
        <f t="shared" si="25"/>
        <v>0</v>
      </c>
      <c r="BT34" s="370" cm="1">
        <f t="array" ref="BT34">IF($X34&lt;=$O$17,_xlfn.IFS(W34&lt;$F$18+1,$P$106,W34=$F$18+1,$P$107,W34&gt;$F$18,$P$108),0)+CA34</f>
        <v>11.97</v>
      </c>
      <c r="BU34" s="371">
        <f t="shared" si="46"/>
        <v>87.882855257998159</v>
      </c>
      <c r="BV34" s="371">
        <f t="shared" si="64"/>
        <v>99.044571663619479</v>
      </c>
      <c r="BW34" s="118">
        <f t="shared" si="54"/>
        <v>0</v>
      </c>
      <c r="BY34" s="266">
        <f t="shared" si="27"/>
        <v>-142.5</v>
      </c>
      <c r="BZ34" s="266">
        <f t="shared" si="28"/>
        <v>855</v>
      </c>
      <c r="CA34" s="263">
        <f t="shared" si="47"/>
        <v>11.97</v>
      </c>
      <c r="CB34" s="265"/>
      <c r="CC34" s="263" cm="1">
        <f t="array" ref="CC34">SUM(BJ34:BM34, -BP34:BT34,BY34)</f>
        <v>-132.34463168619146</v>
      </c>
      <c r="CD34" s="263">
        <f t="shared" si="48"/>
        <v>0</v>
      </c>
      <c r="CE34" s="263">
        <f t="shared" si="49"/>
        <v>0</v>
      </c>
      <c r="CF34" s="263">
        <f t="shared" si="50"/>
        <v>-77.461710657697864</v>
      </c>
      <c r="CG34" s="263">
        <f t="shared" si="51"/>
        <v>738.60464604436459</v>
      </c>
      <c r="CH34" s="263">
        <f t="shared" si="29"/>
        <v>-1834.6029419254496</v>
      </c>
      <c r="CI34" s="263">
        <f t="shared" si="52"/>
        <v>0</v>
      </c>
      <c r="CJ34" s="263">
        <f t="shared" si="53"/>
        <v>0</v>
      </c>
      <c r="CK34" s="21"/>
    </row>
    <row r="35" spans="2:89" ht="15.75" customHeight="1" x14ac:dyDescent="0.45">
      <c r="C35" s="119" t="s">
        <v>159</v>
      </c>
      <c r="D35" s="276" t="s">
        <v>25</v>
      </c>
      <c r="E35" s="315">
        <v>1</v>
      </c>
      <c r="F35" s="157">
        <v>0.5</v>
      </c>
      <c r="K35" s="275" t="s">
        <v>161</v>
      </c>
      <c r="L35" s="241"/>
      <c r="M35" s="275"/>
      <c r="N35" s="242" t="s">
        <v>21</v>
      </c>
      <c r="O35" s="437">
        <f>SUM(O33:O34)</f>
        <v>2850</v>
      </c>
      <c r="P35" s="437">
        <f>SUM(P33:P34)</f>
        <v>2850</v>
      </c>
      <c r="V35" s="105">
        <f t="shared" si="55"/>
        <v>52687</v>
      </c>
      <c r="W35" s="366">
        <f t="shared" si="31"/>
        <v>18</v>
      </c>
      <c r="X35" s="366" t="str">
        <f t="shared" si="32"/>
        <v>維持管理・運営期間</v>
      </c>
      <c r="Y35" s="367">
        <f t="shared" si="0"/>
        <v>0</v>
      </c>
      <c r="Z35" s="368">
        <f t="shared" si="1"/>
        <v>0</v>
      </c>
      <c r="AA35" s="368">
        <f t="shared" si="2"/>
        <v>0</v>
      </c>
      <c r="AB35" s="107">
        <f t="shared" si="3"/>
        <v>0</v>
      </c>
      <c r="AC35" s="365">
        <f t="shared" si="33"/>
        <v>0</v>
      </c>
      <c r="AD35" s="367">
        <f t="shared" si="4"/>
        <v>0</v>
      </c>
      <c r="AE35" s="368">
        <f t="shared" si="5"/>
        <v>47.5</v>
      </c>
      <c r="AF35" s="107">
        <f t="shared" si="6"/>
        <v>0</v>
      </c>
      <c r="AG35" s="368">
        <f>IF(AND($W35&gt;$O$83, SUM($AA$17:AA34)&gt;0,SUM($AG$17:AG34)&lt;$O$79),$O$82,0)</f>
        <v>64.125</v>
      </c>
      <c r="AH35" s="370">
        <f>IF(SUM($AA$18:$AA34)&gt;0,($O$79-SUM($AG$18:$AG34))*$F$83,0)</f>
        <v>11.253937499999999</v>
      </c>
      <c r="AI35" s="365">
        <f t="shared" si="34"/>
        <v>122.87893750000001</v>
      </c>
      <c r="AJ35" s="370">
        <f t="shared" si="56"/>
        <v>-122.87893750000001</v>
      </c>
      <c r="AK35" s="115">
        <f t="shared" si="35"/>
        <v>3.0028485035518049</v>
      </c>
      <c r="AL35" s="103"/>
      <c r="AM35" s="371">
        <f t="shared" si="8"/>
        <v>-62.976040230209414</v>
      </c>
      <c r="AN35" s="110"/>
      <c r="AO35" s="369">
        <f t="shared" si="9"/>
        <v>0</v>
      </c>
      <c r="AP35" s="370">
        <f t="shared" si="10"/>
        <v>0</v>
      </c>
      <c r="AQ35" s="370">
        <f t="shared" si="11"/>
        <v>0</v>
      </c>
      <c r="AR35" s="107">
        <f t="shared" si="12"/>
        <v>9.9749999999999996</v>
      </c>
      <c r="AS35" s="365">
        <f t="shared" si="36"/>
        <v>9.9749999999999996</v>
      </c>
      <c r="AT35" s="368">
        <f t="shared" si="13"/>
        <v>0</v>
      </c>
      <c r="AU35" s="368">
        <f t="shared" si="14"/>
        <v>92.252237469347676</v>
      </c>
      <c r="AV35" s="368">
        <f t="shared" si="15"/>
        <v>23.025189452269945</v>
      </c>
      <c r="AW35" s="368">
        <f t="shared" si="16"/>
        <v>47.5</v>
      </c>
      <c r="AX35" s="368">
        <f t="shared" si="17"/>
        <v>6</v>
      </c>
      <c r="AY35" s="368">
        <f t="shared" si="18"/>
        <v>22.155000000000001</v>
      </c>
      <c r="AZ35" s="368">
        <f>IF(AND($W35&gt;$P$83, SUM($AQ$17:AQ34)&gt;0,SUM($AZ$17:AZ34)&lt;$P$79),$P$82,0)</f>
        <v>64.125</v>
      </c>
      <c r="BA35" s="368">
        <f>IF(SUM($AQ$18:$AQ34)&gt;0,($P$79-SUM($AZ$18:$AZ34))*$F$83,0)</f>
        <v>11.253937499999999</v>
      </c>
      <c r="BB35" s="365">
        <f t="shared" si="37"/>
        <v>266.31136442161761</v>
      </c>
      <c r="BC35" s="370">
        <f t="shared" si="57"/>
        <v>-256.33636442161759</v>
      </c>
      <c r="BD35" s="371">
        <f t="shared" si="19"/>
        <v>-131.37360663035852</v>
      </c>
      <c r="BE35" s="111"/>
      <c r="BF35" s="180">
        <f t="shared" si="39"/>
        <v>0.51250475884208724</v>
      </c>
      <c r="BH35" s="369">
        <f t="shared" si="58"/>
        <v>0</v>
      </c>
      <c r="BI35" s="369">
        <f t="shared" si="59"/>
        <v>92.252237469347676</v>
      </c>
      <c r="BJ35" s="370">
        <f t="shared" si="60"/>
        <v>23.025189452269945</v>
      </c>
      <c r="BK35" s="370">
        <f t="shared" si="61"/>
        <v>47.5</v>
      </c>
      <c r="BL35" s="370">
        <f t="shared" si="62"/>
        <v>22.155000000000001</v>
      </c>
      <c r="BM35" s="107">
        <f t="shared" si="20"/>
        <v>0</v>
      </c>
      <c r="BN35" s="371">
        <f t="shared" si="63"/>
        <v>184.93242692161763</v>
      </c>
      <c r="BO35" s="370">
        <f t="shared" si="21"/>
        <v>0</v>
      </c>
      <c r="BP35" s="370">
        <f t="shared" si="22"/>
        <v>47.5</v>
      </c>
      <c r="BQ35" s="370">
        <f t="shared" si="23"/>
        <v>14.256786003551804</v>
      </c>
      <c r="BR35" s="370">
        <f t="shared" si="24"/>
        <v>12</v>
      </c>
      <c r="BS35" s="370">
        <f t="shared" si="25"/>
        <v>0</v>
      </c>
      <c r="BT35" s="370" cm="1">
        <f t="array" ref="BT35">IF($X35&lt;=$O$17,_xlfn.IFS(W35&lt;$F$18+1,$P$106,W35=$F$18+1,$P$107,W35&gt;$F$18,$P$108),0)+CA35</f>
        <v>9.9749999999999996</v>
      </c>
      <c r="BU35" s="371">
        <f t="shared" si="46"/>
        <v>83.731786003551804</v>
      </c>
      <c r="BV35" s="371">
        <f t="shared" si="64"/>
        <v>101.20064091806583</v>
      </c>
      <c r="BW35" s="118">
        <f t="shared" si="54"/>
        <v>0</v>
      </c>
      <c r="BY35" s="266">
        <f t="shared" si="27"/>
        <v>-142.5</v>
      </c>
      <c r="BZ35" s="266">
        <f t="shared" si="28"/>
        <v>712.5</v>
      </c>
      <c r="CA35" s="263">
        <f t="shared" si="47"/>
        <v>9.9749999999999996</v>
      </c>
      <c r="CB35" s="265"/>
      <c r="CC35" s="263" cm="1">
        <f t="array" ref="CC35">SUM(BJ35:BM35, -BP35:BT35,BY35)</f>
        <v>-133.55159655128185</v>
      </c>
      <c r="CD35" s="263">
        <f t="shared" si="48"/>
        <v>0</v>
      </c>
      <c r="CE35" s="263">
        <f t="shared" si="49"/>
        <v>0</v>
      </c>
      <c r="CF35" s="263">
        <f t="shared" si="50"/>
        <v>-79.617779912144229</v>
      </c>
      <c r="CG35" s="263">
        <f t="shared" si="51"/>
        <v>667.93526958093855</v>
      </c>
      <c r="CH35" s="263">
        <f t="shared" si="29"/>
        <v>-1968.1545384767314</v>
      </c>
      <c r="CI35" s="263">
        <f t="shared" si="52"/>
        <v>0</v>
      </c>
      <c r="CJ35" s="263">
        <f t="shared" si="53"/>
        <v>0</v>
      </c>
      <c r="CK35" s="21"/>
    </row>
    <row r="36" spans="2:89" ht="15.75" customHeight="1" x14ac:dyDescent="0.45">
      <c r="C36" s="119" t="s">
        <v>162</v>
      </c>
      <c r="D36" s="276" t="s">
        <v>25</v>
      </c>
      <c r="E36" s="158"/>
      <c r="F36" s="157">
        <v>0.5</v>
      </c>
      <c r="V36" s="105">
        <f t="shared" ref="V36" si="65">IF(W36=1,DATE(YEAR($F$20)+(MONTH($F$20)&gt;=4),4,0),EOMONTH(V35,12))</f>
        <v>53052</v>
      </c>
      <c r="W36" s="366">
        <f t="shared" si="31"/>
        <v>19</v>
      </c>
      <c r="X36" s="366" t="str">
        <f t="shared" si="32"/>
        <v>維持管理・運営期間</v>
      </c>
      <c r="Y36" s="367">
        <f t="shared" si="0"/>
        <v>0</v>
      </c>
      <c r="Z36" s="368">
        <f t="shared" si="1"/>
        <v>0</v>
      </c>
      <c r="AA36" s="368">
        <f t="shared" si="2"/>
        <v>0</v>
      </c>
      <c r="AB36" s="107">
        <f t="shared" si="3"/>
        <v>0</v>
      </c>
      <c r="AC36" s="365">
        <f t="shared" si="33"/>
        <v>0</v>
      </c>
      <c r="AD36" s="367">
        <f t="shared" si="4"/>
        <v>0</v>
      </c>
      <c r="AE36" s="368">
        <f t="shared" si="5"/>
        <v>47.5</v>
      </c>
      <c r="AF36" s="107">
        <f t="shared" si="6"/>
        <v>0</v>
      </c>
      <c r="AG36" s="368">
        <f>IF(AND($W36&gt;$O$83, SUM($AA$17:AA35)&gt;0,SUM($AG$17:AG35)&lt;$O$79),$O$82,0)</f>
        <v>64.125</v>
      </c>
      <c r="AH36" s="370">
        <f>IF(SUM($AA$18:$AA35)&gt;0,($O$79-SUM($AG$18:$AG35))*$F$83,0)</f>
        <v>10.003500000000001</v>
      </c>
      <c r="AI36" s="365">
        <f t="shared" si="34"/>
        <v>121.6285</v>
      </c>
      <c r="AJ36" s="370">
        <f t="shared" ref="AJ36" si="66">AC36-AI36</f>
        <v>-121.6285</v>
      </c>
      <c r="AK36" s="115">
        <f t="shared" si="35"/>
        <v>2.037204717477179</v>
      </c>
      <c r="AL36" s="103"/>
      <c r="AM36" s="371">
        <f t="shared" si="8"/>
        <v>-60.062770212601258</v>
      </c>
      <c r="AN36" s="110"/>
      <c r="AO36" s="369">
        <f t="shared" si="9"/>
        <v>0</v>
      </c>
      <c r="AP36" s="370">
        <f t="shared" si="10"/>
        <v>0</v>
      </c>
      <c r="AQ36" s="370">
        <f t="shared" si="11"/>
        <v>0</v>
      </c>
      <c r="AR36" s="107">
        <f t="shared" si="12"/>
        <v>7.98</v>
      </c>
      <c r="AS36" s="365">
        <f t="shared" si="36"/>
        <v>7.98</v>
      </c>
      <c r="AT36" s="368">
        <f t="shared" si="13"/>
        <v>0</v>
      </c>
      <c r="AU36" s="368">
        <f t="shared" si="14"/>
        <v>95.74250862176298</v>
      </c>
      <c r="AV36" s="368">
        <f t="shared" si="15"/>
        <v>19.534918299854649</v>
      </c>
      <c r="AW36" s="368">
        <f t="shared" si="16"/>
        <v>47.5</v>
      </c>
      <c r="AX36" s="368">
        <f t="shared" si="17"/>
        <v>6</v>
      </c>
      <c r="AY36" s="368">
        <f t="shared" si="18"/>
        <v>20.16</v>
      </c>
      <c r="AZ36" s="368">
        <f>IF(AND($W36&gt;$P$83, SUM($AQ$17:AQ35)&gt;0,SUM($AZ$17:AZ35)&lt;$P$79),$P$82,0)</f>
        <v>64.125</v>
      </c>
      <c r="BA36" s="368">
        <f>IF(SUM($AQ$18:$AQ35)&gt;0,($P$79-SUM($AZ$18:$AZ35))*$F$83,0)</f>
        <v>10.003500000000001</v>
      </c>
      <c r="BB36" s="365">
        <f t="shared" si="37"/>
        <v>263.06592692161763</v>
      </c>
      <c r="BC36" s="370">
        <f t="shared" ref="BC36" si="67">AS36-BB36</f>
        <v>-255.08592692161764</v>
      </c>
      <c r="BD36" s="371">
        <f t="shared" si="19"/>
        <v>-125.96691904579534</v>
      </c>
      <c r="BE36" s="111"/>
      <c r="BF36" s="180">
        <f t="shared" si="39"/>
        <v>0.49382151562011584</v>
      </c>
      <c r="BH36" s="369">
        <f t="shared" ref="BH36" si="68">AT36</f>
        <v>0</v>
      </c>
      <c r="BI36" s="369">
        <f t="shared" ref="BI36" si="69">AU36</f>
        <v>95.74250862176298</v>
      </c>
      <c r="BJ36" s="370">
        <f t="shared" ref="BJ36" si="70">AV36</f>
        <v>19.534918299854649</v>
      </c>
      <c r="BK36" s="370">
        <f t="shared" ref="BK36" si="71">AW36</f>
        <v>47.5</v>
      </c>
      <c r="BL36" s="370">
        <f t="shared" ref="BL36" si="72">AY36</f>
        <v>20.16</v>
      </c>
      <c r="BM36" s="107">
        <f t="shared" si="20"/>
        <v>0</v>
      </c>
      <c r="BN36" s="371">
        <f t="shared" ref="BN36" si="73">SUM(BH36:BM36)</f>
        <v>182.93742692161763</v>
      </c>
      <c r="BO36" s="370">
        <f t="shared" si="21"/>
        <v>0</v>
      </c>
      <c r="BP36" s="370">
        <f t="shared" si="22"/>
        <v>47.5</v>
      </c>
      <c r="BQ36" s="370">
        <f t="shared" si="23"/>
        <v>12.04070471747718</v>
      </c>
      <c r="BR36" s="370">
        <f t="shared" si="24"/>
        <v>12</v>
      </c>
      <c r="BS36" s="370">
        <f t="shared" si="25"/>
        <v>0</v>
      </c>
      <c r="BT36" s="370" cm="1">
        <f t="array" ref="BT36">IF($X36&lt;=$O$17,_xlfn.IFS(W36&lt;$F$18+1,$P$106,W36=$F$18+1,$P$107,W36&gt;$F$18,$P$108),0)+CA36</f>
        <v>7.98</v>
      </c>
      <c r="BU36" s="371">
        <f t="shared" si="46"/>
        <v>79.520704717477187</v>
      </c>
      <c r="BV36" s="371">
        <f t="shared" ref="BV36" si="74">BN36-BU36</f>
        <v>103.41672220414044</v>
      </c>
      <c r="BW36" s="118">
        <f t="shared" si="54"/>
        <v>0</v>
      </c>
      <c r="BY36" s="266">
        <f t="shared" si="27"/>
        <v>-142.5</v>
      </c>
      <c r="BZ36" s="266">
        <f t="shared" si="28"/>
        <v>570</v>
      </c>
      <c r="CA36" s="263">
        <f t="shared" si="47"/>
        <v>7.98</v>
      </c>
      <c r="CB36" s="265"/>
      <c r="CC36" s="263" cm="1">
        <f t="array" ref="CC36">SUM(BJ36:BM36, -BP36:BT36,BY36)</f>
        <v>-134.82578641762254</v>
      </c>
      <c r="CD36" s="263">
        <f t="shared" si="48"/>
        <v>0</v>
      </c>
      <c r="CE36" s="263">
        <f t="shared" si="49"/>
        <v>0</v>
      </c>
      <c r="CF36" s="263">
        <f t="shared" si="50"/>
        <v>-81.83386119821887</v>
      </c>
      <c r="CG36" s="263">
        <f t="shared" si="51"/>
        <v>593.77562196509712</v>
      </c>
      <c r="CH36" s="263">
        <f t="shared" si="29"/>
        <v>-2102.980324894354</v>
      </c>
      <c r="CI36" s="263">
        <f t="shared" si="52"/>
        <v>0</v>
      </c>
      <c r="CJ36" s="263">
        <f t="shared" si="53"/>
        <v>0</v>
      </c>
      <c r="CK36" s="21"/>
    </row>
    <row r="37" spans="2:89" ht="15.75" customHeight="1" x14ac:dyDescent="0.3">
      <c r="V37" s="105">
        <f t="shared" ref="V37:V46" si="75">IF(W37=1,DATE(YEAR($F$20)+(MONTH($F$20)&gt;=4),4,0),EOMONTH(V36,12))</f>
        <v>53417</v>
      </c>
      <c r="W37" s="366">
        <f t="shared" si="31"/>
        <v>20</v>
      </c>
      <c r="X37" s="366" t="str">
        <f t="shared" si="32"/>
        <v>維持管理・運営期間</v>
      </c>
      <c r="Y37" s="367">
        <f t="shared" si="0"/>
        <v>0</v>
      </c>
      <c r="Z37" s="368">
        <f t="shared" si="1"/>
        <v>0</v>
      </c>
      <c r="AA37" s="368">
        <f t="shared" si="2"/>
        <v>0</v>
      </c>
      <c r="AB37" s="107">
        <f t="shared" si="3"/>
        <v>0</v>
      </c>
      <c r="AC37" s="365">
        <f t="shared" si="33"/>
        <v>0</v>
      </c>
      <c r="AD37" s="367">
        <f t="shared" si="4"/>
        <v>0</v>
      </c>
      <c r="AE37" s="368">
        <f t="shared" si="5"/>
        <v>47.5</v>
      </c>
      <c r="AF37" s="107">
        <f t="shared" si="6"/>
        <v>0</v>
      </c>
      <c r="AG37" s="368">
        <f>IF(AND($W37&gt;$O$83, SUM($AA$17:AA36)&gt;0,SUM($AG$17:AG36)&lt;$O$79),$O$82,0)</f>
        <v>64.125</v>
      </c>
      <c r="AH37" s="370">
        <f>IF(SUM($AA$18:$AA36)&gt;0,($O$79-SUM($AG$18:$AG36))*$F$83,0)</f>
        <v>8.7530625000000004</v>
      </c>
      <c r="AI37" s="365">
        <f t="shared" si="34"/>
        <v>120.3780625</v>
      </c>
      <c r="AJ37" s="370">
        <f t="shared" ref="AJ37:AJ46" si="76">AC37-AI37</f>
        <v>-120.3780625</v>
      </c>
      <c r="AK37" s="115">
        <f t="shared" si="35"/>
        <v>1.0098785248859574</v>
      </c>
      <c r="AL37" s="103"/>
      <c r="AM37" s="371">
        <f t="shared" si="8"/>
        <v>-57.278213347378326</v>
      </c>
      <c r="AN37" s="110"/>
      <c r="AO37" s="369">
        <f t="shared" si="9"/>
        <v>0</v>
      </c>
      <c r="AP37" s="370">
        <f t="shared" si="10"/>
        <v>0</v>
      </c>
      <c r="AQ37" s="370">
        <f t="shared" si="11"/>
        <v>0</v>
      </c>
      <c r="AR37" s="107">
        <f t="shared" si="12"/>
        <v>5.9850000000000003</v>
      </c>
      <c r="AS37" s="365">
        <f t="shared" si="36"/>
        <v>5.9850000000000003</v>
      </c>
      <c r="AT37" s="368">
        <f t="shared" si="13"/>
        <v>0</v>
      </c>
      <c r="AU37" s="368">
        <f t="shared" si="14"/>
        <v>99.364830692958748</v>
      </c>
      <c r="AV37" s="368">
        <f t="shared" si="15"/>
        <v>15.912596228658865</v>
      </c>
      <c r="AW37" s="368">
        <f t="shared" si="16"/>
        <v>47.5</v>
      </c>
      <c r="AX37" s="368">
        <f t="shared" si="17"/>
        <v>6</v>
      </c>
      <c r="AY37" s="368">
        <f t="shared" si="18"/>
        <v>18.164999999999999</v>
      </c>
      <c r="AZ37" s="368">
        <f>IF(AND($W37&gt;$P$83, SUM($AQ$17:AQ36)&gt;0,SUM($AZ$17:AZ36)&lt;$P$79),$P$82,0)</f>
        <v>64.125</v>
      </c>
      <c r="BA37" s="368">
        <f>IF(SUM($AQ$18:$AQ36)&gt;0,($P$79-SUM($AZ$18:$AZ36))*$F$83,0)</f>
        <v>8.7530625000000004</v>
      </c>
      <c r="BB37" s="365">
        <f t="shared" si="37"/>
        <v>259.82048942161765</v>
      </c>
      <c r="BC37" s="370">
        <f t="shared" ref="BC37:BC46" si="77">AS37-BB37</f>
        <v>-253.83548942161764</v>
      </c>
      <c r="BD37" s="371">
        <f t="shared" si="19"/>
        <v>-120.77984157809159</v>
      </c>
      <c r="BE37" s="111"/>
      <c r="BF37" s="180">
        <f t="shared" si="39"/>
        <v>0.4758193657368287</v>
      </c>
      <c r="BH37" s="369">
        <f t="shared" ref="BH37:BH46" si="78">AT37</f>
        <v>0</v>
      </c>
      <c r="BI37" s="369">
        <f t="shared" ref="BI37:BI46" si="79">AU37</f>
        <v>99.364830692958748</v>
      </c>
      <c r="BJ37" s="370">
        <f t="shared" ref="BJ37:BJ46" si="80">AV37</f>
        <v>15.912596228658865</v>
      </c>
      <c r="BK37" s="370">
        <f t="shared" ref="BK37:BK46" si="81">AW37</f>
        <v>47.5</v>
      </c>
      <c r="BL37" s="370">
        <f t="shared" ref="BL37:BL46" si="82">AY37</f>
        <v>18.164999999999999</v>
      </c>
      <c r="BM37" s="107">
        <f t="shared" si="20"/>
        <v>0</v>
      </c>
      <c r="BN37" s="371">
        <f t="shared" ref="BN37:BN46" si="83">SUM(BH37:BM37)</f>
        <v>180.94242692161762</v>
      </c>
      <c r="BO37" s="370">
        <f t="shared" si="21"/>
        <v>0</v>
      </c>
      <c r="BP37" s="370">
        <f t="shared" si="22"/>
        <v>47.5</v>
      </c>
      <c r="BQ37" s="370">
        <f t="shared" si="23"/>
        <v>9.7629410248859578</v>
      </c>
      <c r="BR37" s="370">
        <f t="shared" si="24"/>
        <v>12</v>
      </c>
      <c r="BS37" s="370">
        <f t="shared" si="25"/>
        <v>0</v>
      </c>
      <c r="BT37" s="370" cm="1">
        <f t="array" ref="BT37">IF($X37&lt;=$O$17,_xlfn.IFS(W37&lt;$F$18+1,$P$106,W37=$F$18+1,$P$107,W37&gt;$F$18,$P$108),0)+CA37</f>
        <v>5.9850000000000003</v>
      </c>
      <c r="BU37" s="371">
        <f t="shared" si="46"/>
        <v>75.247941024885961</v>
      </c>
      <c r="BV37" s="371">
        <f t="shared" ref="BV37:BV46" si="84">BN37-BU37</f>
        <v>105.69448589673166</v>
      </c>
      <c r="BW37" s="118">
        <f t="shared" si="54"/>
        <v>0</v>
      </c>
      <c r="BY37" s="266">
        <f t="shared" si="27"/>
        <v>-142.5</v>
      </c>
      <c r="BZ37" s="266">
        <f t="shared" si="28"/>
        <v>427.5</v>
      </c>
      <c r="CA37" s="263">
        <f t="shared" si="47"/>
        <v>5.9850000000000003</v>
      </c>
      <c r="CB37" s="265"/>
      <c r="CC37" s="263" cm="1">
        <f t="array" ref="CC37">SUM(BJ37:BM37, -BP37:BT37,BY37)</f>
        <v>-136.17034479622708</v>
      </c>
      <c r="CD37" s="263">
        <f t="shared" si="48"/>
        <v>0</v>
      </c>
      <c r="CE37" s="263">
        <f t="shared" si="49"/>
        <v>0</v>
      </c>
      <c r="CF37" s="263">
        <f t="shared" si="50"/>
        <v>-84.111624890810077</v>
      </c>
      <c r="CG37" s="263">
        <f t="shared" si="51"/>
        <v>515.99365227805993</v>
      </c>
      <c r="CH37" s="263">
        <f t="shared" si="29"/>
        <v>-2239.1506696905813</v>
      </c>
      <c r="CI37" s="263">
        <f t="shared" si="52"/>
        <v>0</v>
      </c>
      <c r="CJ37" s="263">
        <f t="shared" si="53"/>
        <v>0</v>
      </c>
      <c r="CK37" s="21"/>
    </row>
    <row r="38" spans="2:89" ht="15.75" customHeight="1" x14ac:dyDescent="0.3">
      <c r="V38" s="105">
        <f t="shared" si="75"/>
        <v>53782</v>
      </c>
      <c r="W38" s="366">
        <f t="shared" si="31"/>
        <v>21</v>
      </c>
      <c r="X38" s="366" t="str">
        <f t="shared" si="32"/>
        <v>維持管理・運営期間</v>
      </c>
      <c r="Y38" s="367">
        <f t="shared" si="0"/>
        <v>0</v>
      </c>
      <c r="Z38" s="368">
        <f t="shared" si="1"/>
        <v>0</v>
      </c>
      <c r="AA38" s="368">
        <f t="shared" si="2"/>
        <v>0</v>
      </c>
      <c r="AB38" s="107">
        <f t="shared" si="3"/>
        <v>0</v>
      </c>
      <c r="AC38" s="365">
        <f t="shared" si="33"/>
        <v>0</v>
      </c>
      <c r="AD38" s="367">
        <f t="shared" si="4"/>
        <v>0</v>
      </c>
      <c r="AE38" s="368">
        <f t="shared" si="5"/>
        <v>47.5</v>
      </c>
      <c r="AF38" s="107">
        <f t="shared" si="6"/>
        <v>0</v>
      </c>
      <c r="AG38" s="368">
        <f>IF(AND($W38&gt;$O$83, SUM($AA$17:AA37)&gt;0,SUM($AG$17:AG37)&lt;$O$79),$O$82,0)</f>
        <v>64.125</v>
      </c>
      <c r="AH38" s="370">
        <f>IF(SUM($AA$18:$AA37)&gt;0,($O$79-SUM($AG$18:$AG37))*$F$83,0)</f>
        <v>7.5026250000000001</v>
      </c>
      <c r="AI38" s="365">
        <f t="shared" si="34"/>
        <v>119.12762499999999</v>
      </c>
      <c r="AJ38" s="370">
        <f t="shared" si="76"/>
        <v>-119.12762499999999</v>
      </c>
      <c r="AK38" s="115">
        <f t="shared" si="35"/>
        <v>0</v>
      </c>
      <c r="AL38" s="103"/>
      <c r="AM38" s="371">
        <f t="shared" si="8"/>
        <v>-54.616856808733168</v>
      </c>
      <c r="AN38" s="110"/>
      <c r="AO38" s="369">
        <f t="shared" si="9"/>
        <v>0</v>
      </c>
      <c r="AP38" s="370">
        <f t="shared" si="10"/>
        <v>0</v>
      </c>
      <c r="AQ38" s="370">
        <f t="shared" si="11"/>
        <v>0</v>
      </c>
      <c r="AR38" s="107">
        <f t="shared" si="12"/>
        <v>3.99</v>
      </c>
      <c r="AS38" s="365">
        <f t="shared" si="36"/>
        <v>3.99</v>
      </c>
      <c r="AT38" s="368">
        <f t="shared" si="13"/>
        <v>0</v>
      </c>
      <c r="AU38" s="368">
        <f t="shared" si="14"/>
        <v>103.12419969739615</v>
      </c>
      <c r="AV38" s="368">
        <f t="shared" si="15"/>
        <v>12.153227224221466</v>
      </c>
      <c r="AW38" s="368">
        <f t="shared" si="16"/>
        <v>47.5</v>
      </c>
      <c r="AX38" s="368">
        <f t="shared" si="17"/>
        <v>6</v>
      </c>
      <c r="AY38" s="368">
        <f t="shared" si="18"/>
        <v>16.170000000000002</v>
      </c>
      <c r="AZ38" s="368">
        <f>IF(AND($W38&gt;$P$83, SUM($AQ$17:AQ37)&gt;0,SUM($AZ$17:AZ37)&lt;$P$79),$P$82,0)</f>
        <v>64.125</v>
      </c>
      <c r="BA38" s="368">
        <f>IF(SUM($AQ$18:$AQ37)&gt;0,($P$79-SUM($AZ$18:$AZ37))*$F$83,0)</f>
        <v>7.5026250000000001</v>
      </c>
      <c r="BB38" s="365">
        <f t="shared" si="37"/>
        <v>256.57505192161767</v>
      </c>
      <c r="BC38" s="370">
        <f t="shared" si="77"/>
        <v>-252.58505192161766</v>
      </c>
      <c r="BD38" s="371">
        <f t="shared" si="19"/>
        <v>-115.803547773486</v>
      </c>
      <c r="BE38" s="111"/>
      <c r="BF38" s="180">
        <f t="shared" si="39"/>
        <v>0.45847348009106342</v>
      </c>
      <c r="BH38" s="369">
        <f t="shared" si="78"/>
        <v>0</v>
      </c>
      <c r="BI38" s="369">
        <f t="shared" si="79"/>
        <v>103.12419969739615</v>
      </c>
      <c r="BJ38" s="370">
        <f t="shared" si="80"/>
        <v>12.153227224221466</v>
      </c>
      <c r="BK38" s="370">
        <f t="shared" si="81"/>
        <v>47.5</v>
      </c>
      <c r="BL38" s="370">
        <f t="shared" si="82"/>
        <v>16.170000000000002</v>
      </c>
      <c r="BM38" s="107">
        <f t="shared" si="20"/>
        <v>0</v>
      </c>
      <c r="BN38" s="371">
        <f t="shared" si="83"/>
        <v>178.94742692161765</v>
      </c>
      <c r="BO38" s="370">
        <f t="shared" si="21"/>
        <v>0</v>
      </c>
      <c r="BP38" s="370">
        <f t="shared" si="22"/>
        <v>47.5</v>
      </c>
      <c r="BQ38" s="370">
        <f t="shared" si="23"/>
        <v>7.4217780576751498</v>
      </c>
      <c r="BR38" s="370">
        <f t="shared" si="24"/>
        <v>12</v>
      </c>
      <c r="BS38" s="370">
        <f t="shared" si="25"/>
        <v>0</v>
      </c>
      <c r="BT38" s="370" cm="1">
        <f t="array" ref="BT38">IF($X38&lt;=$O$17,_xlfn.IFS(W38&lt;$F$18+1,$P$106,W38=$F$18+1,$P$107,W38&gt;$F$18,$P$108),0)+CA38</f>
        <v>3.99</v>
      </c>
      <c r="BU38" s="371">
        <f t="shared" si="46"/>
        <v>70.911778057675136</v>
      </c>
      <c r="BV38" s="371">
        <f t="shared" si="84"/>
        <v>108.03564886394251</v>
      </c>
      <c r="BW38" s="118">
        <f t="shared" si="54"/>
        <v>0</v>
      </c>
      <c r="BY38" s="266">
        <f t="shared" si="27"/>
        <v>-142.5</v>
      </c>
      <c r="BZ38" s="266">
        <f t="shared" si="28"/>
        <v>285</v>
      </c>
      <c r="CA38" s="263">
        <f t="shared" si="47"/>
        <v>3.99</v>
      </c>
      <c r="CB38" s="265"/>
      <c r="CC38" s="263" cm="1">
        <f t="array" ref="CC38">SUM(BJ38:BM38, -BP38:BT38,BY38)</f>
        <v>-137.58855083345367</v>
      </c>
      <c r="CD38" s="263">
        <f t="shared" si="48"/>
        <v>0</v>
      </c>
      <c r="CE38" s="263">
        <f t="shared" si="49"/>
        <v>0</v>
      </c>
      <c r="CF38" s="263">
        <f t="shared" si="50"/>
        <v>-86.452787858020898</v>
      </c>
      <c r="CG38" s="263">
        <f t="shared" si="51"/>
        <v>434.45231358658538</v>
      </c>
      <c r="CH38" s="263">
        <f t="shared" si="29"/>
        <v>-2376.7392205240349</v>
      </c>
      <c r="CI38" s="263">
        <f t="shared" si="52"/>
        <v>0</v>
      </c>
      <c r="CJ38" s="263">
        <f t="shared" si="53"/>
        <v>0</v>
      </c>
      <c r="CK38" s="21"/>
    </row>
    <row r="39" spans="2:89" ht="15.75" customHeight="1" x14ac:dyDescent="0.3">
      <c r="B39" s="226" t="s">
        <v>163</v>
      </c>
      <c r="V39" s="105">
        <f t="shared" si="75"/>
        <v>54148</v>
      </c>
      <c r="W39" s="366">
        <f t="shared" si="31"/>
        <v>22</v>
      </c>
      <c r="X39" s="366" t="str">
        <f t="shared" si="32"/>
        <v>維持管理・運営期間</v>
      </c>
      <c r="Y39" s="367">
        <f t="shared" si="0"/>
        <v>0</v>
      </c>
      <c r="Z39" s="368">
        <f t="shared" si="1"/>
        <v>0</v>
      </c>
      <c r="AA39" s="368">
        <f t="shared" si="2"/>
        <v>0</v>
      </c>
      <c r="AB39" s="107">
        <f t="shared" si="3"/>
        <v>0</v>
      </c>
      <c r="AC39" s="365">
        <f t="shared" si="33"/>
        <v>0</v>
      </c>
      <c r="AD39" s="367">
        <f t="shared" si="4"/>
        <v>0</v>
      </c>
      <c r="AE39" s="368">
        <f t="shared" si="5"/>
        <v>47.5</v>
      </c>
      <c r="AF39" s="107">
        <f t="shared" si="6"/>
        <v>0</v>
      </c>
      <c r="AG39" s="368">
        <f>IF(AND($W39&gt;$O$83, SUM($AA$17:AA38)&gt;0,SUM($AG$17:AG38)&lt;$O$79),$O$82,0)</f>
        <v>64.125</v>
      </c>
      <c r="AH39" s="370">
        <f>IF(SUM($AA$18:$AA38)&gt;0,($O$79-SUM($AG$18:$AG38))*$F$83,0)</f>
        <v>6.2521874999999998</v>
      </c>
      <c r="AI39" s="365">
        <f t="shared" si="34"/>
        <v>117.87718750000001</v>
      </c>
      <c r="AJ39" s="370">
        <f t="shared" si="76"/>
        <v>-117.87718750000001</v>
      </c>
      <c r="AK39" s="115">
        <f t="shared" si="35"/>
        <v>0</v>
      </c>
      <c r="AL39" s="103"/>
      <c r="AM39" s="371">
        <f t="shared" si="8"/>
        <v>-52.07341865507567</v>
      </c>
      <c r="AN39" s="110"/>
      <c r="AO39" s="369">
        <f t="shared" si="9"/>
        <v>0</v>
      </c>
      <c r="AP39" s="370">
        <f t="shared" si="10"/>
        <v>0</v>
      </c>
      <c r="AQ39" s="370">
        <f t="shared" si="11"/>
        <v>0</v>
      </c>
      <c r="AR39" s="107">
        <f t="shared" si="12"/>
        <v>1.9950000000000001</v>
      </c>
      <c r="AS39" s="365">
        <f t="shared" si="36"/>
        <v>1.9950000000000001</v>
      </c>
      <c r="AT39" s="368">
        <f t="shared" si="13"/>
        <v>0</v>
      </c>
      <c r="AU39" s="368">
        <f t="shared" si="14"/>
        <v>107.02580066874742</v>
      </c>
      <c r="AV39" s="368">
        <f t="shared" si="15"/>
        <v>8.251626252870178</v>
      </c>
      <c r="AW39" s="368">
        <f t="shared" si="16"/>
        <v>47.5</v>
      </c>
      <c r="AX39" s="368">
        <f t="shared" si="17"/>
        <v>6</v>
      </c>
      <c r="AY39" s="368">
        <f t="shared" si="18"/>
        <v>14.175000000000001</v>
      </c>
      <c r="AZ39" s="368">
        <f>IF(AND($W39&gt;$P$83, SUM($AQ$17:AQ38)&gt;0,SUM($AZ$17:AZ38)&lt;$P$79),$P$82,0)</f>
        <v>64.125</v>
      </c>
      <c r="BA39" s="368">
        <f>IF(SUM($AQ$18:$AQ38)&gt;0,($P$79-SUM($AZ$18:$AZ38))*$F$83,0)</f>
        <v>6.2521874999999998</v>
      </c>
      <c r="BB39" s="365">
        <f t="shared" si="37"/>
        <v>253.32961442161761</v>
      </c>
      <c r="BC39" s="370">
        <f t="shared" si="77"/>
        <v>-251.3346144216176</v>
      </c>
      <c r="BD39" s="371">
        <f t="shared" si="19"/>
        <v>-111.02956285998012</v>
      </c>
      <c r="BE39" s="111"/>
      <c r="BF39" s="180">
        <f t="shared" si="39"/>
        <v>0.44175993472083536</v>
      </c>
      <c r="BH39" s="369">
        <f t="shared" si="78"/>
        <v>0</v>
      </c>
      <c r="BI39" s="369">
        <f t="shared" si="79"/>
        <v>107.02580066874742</v>
      </c>
      <c r="BJ39" s="370">
        <f t="shared" si="80"/>
        <v>8.251626252870178</v>
      </c>
      <c r="BK39" s="370">
        <f t="shared" si="81"/>
        <v>47.5</v>
      </c>
      <c r="BL39" s="370">
        <f t="shared" si="82"/>
        <v>14.175000000000001</v>
      </c>
      <c r="BM39" s="107">
        <f t="shared" si="20"/>
        <v>0</v>
      </c>
      <c r="BN39" s="371">
        <f t="shared" si="83"/>
        <v>176.95242692161762</v>
      </c>
      <c r="BO39" s="370">
        <f t="shared" si="21"/>
        <v>0</v>
      </c>
      <c r="BP39" s="370">
        <f t="shared" si="22"/>
        <v>47.5</v>
      </c>
      <c r="BQ39" s="370">
        <f t="shared" si="23"/>
        <v>5.0154511604349974</v>
      </c>
      <c r="BR39" s="370">
        <f t="shared" si="24"/>
        <v>12</v>
      </c>
      <c r="BS39" s="370">
        <f t="shared" si="25"/>
        <v>0</v>
      </c>
      <c r="BT39" s="370" cm="1">
        <f t="array" ref="BT39">IF($X39&lt;=$O$17,_xlfn.IFS(W39&lt;$F$18+1,$P$106,W39=$F$18+1,$P$107,W39&gt;$F$18,$P$108),0)+CA39</f>
        <v>1.9950000000000001</v>
      </c>
      <c r="BU39" s="371">
        <f t="shared" si="46"/>
        <v>66.510451160434997</v>
      </c>
      <c r="BV39" s="371">
        <f t="shared" si="84"/>
        <v>110.44197576118262</v>
      </c>
      <c r="BW39" s="118">
        <f t="shared" si="54"/>
        <v>0</v>
      </c>
      <c r="BY39" s="266">
        <f t="shared" si="27"/>
        <v>-142.5</v>
      </c>
      <c r="BZ39" s="266">
        <f t="shared" si="28"/>
        <v>142.5</v>
      </c>
      <c r="CA39" s="263">
        <f t="shared" si="47"/>
        <v>1.9950000000000001</v>
      </c>
      <c r="CB39" s="265"/>
      <c r="CC39" s="263" cm="1">
        <f t="array" ref="CC39">SUM(BJ39:BM39, -BP39:BT39,BY39)</f>
        <v>-139.08382490756483</v>
      </c>
      <c r="CD39" s="263">
        <f t="shared" si="48"/>
        <v>0</v>
      </c>
      <c r="CE39" s="263">
        <f t="shared" si="49"/>
        <v>0</v>
      </c>
      <c r="CF39" s="263">
        <f t="shared" si="50"/>
        <v>-88.859114755261032</v>
      </c>
      <c r="CG39" s="263">
        <f t="shared" si="51"/>
        <v>349.00937392375948</v>
      </c>
      <c r="CH39" s="263">
        <f t="shared" si="29"/>
        <v>-2515.8230454315999</v>
      </c>
      <c r="CI39" s="263">
        <f t="shared" si="52"/>
        <v>0</v>
      </c>
      <c r="CJ39" s="263">
        <f t="shared" si="53"/>
        <v>0</v>
      </c>
      <c r="CK39" s="21"/>
    </row>
    <row r="40" spans="2:89" ht="15.75" customHeight="1" x14ac:dyDescent="0.45">
      <c r="B40" s="119"/>
      <c r="C40" s="119" t="s">
        <v>164</v>
      </c>
      <c r="D40" s="276" t="s">
        <v>25</v>
      </c>
      <c r="F40" s="314">
        <f>F87</f>
        <v>1.7833999999999999E-2</v>
      </c>
      <c r="J40" s="226" t="s">
        <v>163</v>
      </c>
      <c r="P40" s="21" t="s">
        <v>98</v>
      </c>
      <c r="V40" s="105">
        <f t="shared" si="75"/>
        <v>54513</v>
      </c>
      <c r="W40" s="366">
        <f t="shared" si="31"/>
        <v>23</v>
      </c>
      <c r="X40" s="366" t="str">
        <f t="shared" si="32"/>
        <v>維持管理・運営期間</v>
      </c>
      <c r="Y40" s="367">
        <f t="shared" si="0"/>
        <v>0</v>
      </c>
      <c r="Z40" s="368">
        <f t="shared" si="1"/>
        <v>0</v>
      </c>
      <c r="AA40" s="368">
        <f t="shared" si="2"/>
        <v>0</v>
      </c>
      <c r="AB40" s="107">
        <f t="shared" si="3"/>
        <v>0</v>
      </c>
      <c r="AC40" s="365">
        <f t="shared" si="33"/>
        <v>0</v>
      </c>
      <c r="AD40" s="367">
        <f t="shared" si="4"/>
        <v>0</v>
      </c>
      <c r="AE40" s="368">
        <f t="shared" si="5"/>
        <v>47.5</v>
      </c>
      <c r="AF40" s="107">
        <f t="shared" si="6"/>
        <v>0</v>
      </c>
      <c r="AG40" s="368">
        <f>IF(AND($W40&gt;$O$83, SUM($AA$17:AA39)&gt;0,SUM($AG$17:AG39)&lt;$O$79),$O$82,0)</f>
        <v>64.125</v>
      </c>
      <c r="AH40" s="370">
        <f>IF(SUM($AA$18:$AA39)&gt;0,($O$79-SUM($AG$18:$AG39))*$F$83,0)</f>
        <v>5.0017500000000004</v>
      </c>
      <c r="AI40" s="365">
        <f t="shared" si="34"/>
        <v>116.62675</v>
      </c>
      <c r="AJ40" s="370">
        <f t="shared" si="76"/>
        <v>-116.62675</v>
      </c>
      <c r="AK40" s="115">
        <f t="shared" si="35"/>
        <v>0</v>
      </c>
      <c r="AL40" s="103"/>
      <c r="AM40" s="371">
        <f t="shared" si="8"/>
        <v>-49.642838321642181</v>
      </c>
      <c r="AN40" s="110"/>
      <c r="AO40" s="369">
        <f t="shared" si="9"/>
        <v>0</v>
      </c>
      <c r="AP40" s="370">
        <f t="shared" si="10"/>
        <v>0</v>
      </c>
      <c r="AQ40" s="370">
        <f t="shared" si="11"/>
        <v>0</v>
      </c>
      <c r="AR40" s="107">
        <f t="shared" si="12"/>
        <v>0</v>
      </c>
      <c r="AS40" s="365">
        <f t="shared" si="36"/>
        <v>0</v>
      </c>
      <c r="AT40" s="368">
        <f t="shared" si="13"/>
        <v>0</v>
      </c>
      <c r="AU40" s="368">
        <f t="shared" si="14"/>
        <v>111.07501481124883</v>
      </c>
      <c r="AV40" s="368">
        <f t="shared" si="15"/>
        <v>4.2024121103687886</v>
      </c>
      <c r="AW40" s="368">
        <f t="shared" si="16"/>
        <v>47.5</v>
      </c>
      <c r="AX40" s="368">
        <f t="shared" si="17"/>
        <v>6</v>
      </c>
      <c r="AY40" s="368">
        <f t="shared" si="18"/>
        <v>12.18</v>
      </c>
      <c r="AZ40" s="368">
        <f>IF(AND($W40&gt;$P$83, SUM($AQ$17:AQ39)&gt;0,SUM($AZ$17:AZ39)&lt;$P$79),$P$82,0)</f>
        <v>64.125</v>
      </c>
      <c r="BA40" s="368">
        <f>IF(SUM($AQ$18:$AQ39)&gt;0,($P$79-SUM($AZ$18:$AZ39))*$F$83,0)</f>
        <v>5.0017500000000004</v>
      </c>
      <c r="BB40" s="365">
        <f t="shared" si="37"/>
        <v>250.08417692161763</v>
      </c>
      <c r="BC40" s="370">
        <f t="shared" si="77"/>
        <v>-250.08417692161763</v>
      </c>
      <c r="BD40" s="371">
        <f t="shared" si="19"/>
        <v>-106.44974983630104</v>
      </c>
      <c r="BE40" s="111"/>
      <c r="BF40" s="180">
        <f t="shared" si="39"/>
        <v>0.42565567780669683</v>
      </c>
      <c r="BH40" s="369">
        <f t="shared" si="78"/>
        <v>0</v>
      </c>
      <c r="BI40" s="369">
        <f t="shared" si="79"/>
        <v>111.07501481124883</v>
      </c>
      <c r="BJ40" s="370">
        <f t="shared" si="80"/>
        <v>4.2024121103687886</v>
      </c>
      <c r="BK40" s="370">
        <f t="shared" si="81"/>
        <v>47.5</v>
      </c>
      <c r="BL40" s="370">
        <f t="shared" si="82"/>
        <v>12.18</v>
      </c>
      <c r="BM40" s="107">
        <f t="shared" si="20"/>
        <v>0</v>
      </c>
      <c r="BN40" s="371">
        <f t="shared" si="83"/>
        <v>174.95742692161764</v>
      </c>
      <c r="BO40" s="370">
        <f t="shared" si="21"/>
        <v>0</v>
      </c>
      <c r="BP40" s="370">
        <f t="shared" si="22"/>
        <v>47.5</v>
      </c>
      <c r="BQ40" s="370">
        <f t="shared" si="23"/>
        <v>2.5421465603370614</v>
      </c>
      <c r="BR40" s="370">
        <f t="shared" si="24"/>
        <v>12</v>
      </c>
      <c r="BS40" s="370">
        <f t="shared" si="25"/>
        <v>0</v>
      </c>
      <c r="BT40" s="370" cm="1">
        <f t="array" ref="BT40">IF($X40&lt;=$O$17,_xlfn.IFS(W40&lt;$F$18+1,$P$106,W40=$F$18+1,$P$107,W40&gt;$F$18,$P$108),0)+CA40</f>
        <v>0</v>
      </c>
      <c r="BU40" s="371">
        <f t="shared" si="46"/>
        <v>62.042146560337059</v>
      </c>
      <c r="BV40" s="371">
        <f t="shared" si="84"/>
        <v>112.91528036128058</v>
      </c>
      <c r="BW40" s="118">
        <f t="shared" si="54"/>
        <v>0</v>
      </c>
      <c r="BY40" s="266">
        <f t="shared" si="27"/>
        <v>-142.5</v>
      </c>
      <c r="BZ40" s="266">
        <f t="shared" si="28"/>
        <v>0</v>
      </c>
      <c r="CA40" s="263">
        <f t="shared" si="47"/>
        <v>0</v>
      </c>
      <c r="CB40" s="265"/>
      <c r="CC40" s="263" cm="1">
        <f t="array" ref="CC40">SUM(BJ40:BM40, -BP40:BT40,BY40)</f>
        <v>-140.65973444996828</v>
      </c>
      <c r="CD40" s="263">
        <f t="shared" si="48"/>
        <v>-66</v>
      </c>
      <c r="CE40" s="263">
        <f t="shared" si="49"/>
        <v>0</v>
      </c>
      <c r="CF40" s="263">
        <f t="shared" si="50"/>
        <v>-91.332419355358979</v>
      </c>
      <c r="CG40" s="263">
        <f t="shared" si="51"/>
        <v>193.51722011843222</v>
      </c>
      <c r="CH40" s="263">
        <f t="shared" si="29"/>
        <v>-2656.4827798815681</v>
      </c>
      <c r="CI40" s="263">
        <f t="shared" si="52"/>
        <v>-193.51722011843222</v>
      </c>
      <c r="CJ40" s="263">
        <f t="shared" si="53"/>
        <v>259.51722011843219</v>
      </c>
      <c r="CK40" s="21"/>
    </row>
    <row r="41" spans="2:89" ht="15.75" customHeight="1" x14ac:dyDescent="0.45">
      <c r="C41" s="119" t="s">
        <v>166</v>
      </c>
      <c r="D41" s="276" t="s">
        <v>25</v>
      </c>
      <c r="F41" s="314">
        <f>F88</f>
        <v>0.01</v>
      </c>
      <c r="J41" s="35"/>
      <c r="K41" s="119" t="s">
        <v>165</v>
      </c>
      <c r="N41" s="393" t="s">
        <v>25</v>
      </c>
      <c r="O41" s="169"/>
      <c r="P41" s="121">
        <f>SUM(F40:F42)</f>
        <v>3.7834E-2</v>
      </c>
      <c r="V41" s="105">
        <f t="shared" si="75"/>
        <v>54878</v>
      </c>
      <c r="W41" s="366">
        <f t="shared" si="31"/>
        <v>24</v>
      </c>
      <c r="X41" s="366" t="str">
        <f t="shared" si="32"/>
        <v>-</v>
      </c>
      <c r="Y41" s="367">
        <f t="shared" si="0"/>
        <v>0</v>
      </c>
      <c r="Z41" s="368">
        <f t="shared" si="1"/>
        <v>0</v>
      </c>
      <c r="AA41" s="368">
        <f t="shared" si="2"/>
        <v>0</v>
      </c>
      <c r="AB41" s="107">
        <f t="shared" si="3"/>
        <v>0</v>
      </c>
      <c r="AC41" s="365">
        <f t="shared" si="33"/>
        <v>0</v>
      </c>
      <c r="AD41" s="367">
        <f t="shared" si="4"/>
        <v>0</v>
      </c>
      <c r="AE41" s="368">
        <f t="shared" si="5"/>
        <v>0</v>
      </c>
      <c r="AF41" s="107">
        <f t="shared" si="6"/>
        <v>0</v>
      </c>
      <c r="AG41" s="368">
        <f>IF(AND($W41&gt;$O$83, SUM($AA$17:AA40)&gt;0,SUM($AG$17:AG40)&lt;$O$79),$O$82,0)</f>
        <v>64.125</v>
      </c>
      <c r="AH41" s="370">
        <f>IF(SUM($AA$18:$AA40)&gt;0,($O$79-SUM($AG$18:$AG40))*$F$83,0)</f>
        <v>3.7513125</v>
      </c>
      <c r="AI41" s="365">
        <f t="shared" si="34"/>
        <v>67.876312499999997</v>
      </c>
      <c r="AJ41" s="370">
        <f t="shared" si="76"/>
        <v>-67.876312499999997</v>
      </c>
      <c r="AK41" s="115">
        <f t="shared" si="35"/>
        <v>0</v>
      </c>
      <c r="AL41" s="103"/>
      <c r="AM41" s="371">
        <f t="shared" si="8"/>
        <v>-27.838688850246445</v>
      </c>
      <c r="AN41" s="110"/>
      <c r="AO41" s="369">
        <f t="shared" si="9"/>
        <v>0</v>
      </c>
      <c r="AP41" s="370">
        <f t="shared" si="10"/>
        <v>0</v>
      </c>
      <c r="AQ41" s="370">
        <f t="shared" si="11"/>
        <v>0</v>
      </c>
      <c r="AR41" s="107">
        <f t="shared" si="12"/>
        <v>0</v>
      </c>
      <c r="AS41" s="365">
        <f t="shared" si="36"/>
        <v>0</v>
      </c>
      <c r="AT41" s="368">
        <f t="shared" si="13"/>
        <v>0</v>
      </c>
      <c r="AU41" s="368">
        <f t="shared" si="14"/>
        <v>0</v>
      </c>
      <c r="AV41" s="368">
        <f t="shared" si="15"/>
        <v>0</v>
      </c>
      <c r="AW41" s="368">
        <f t="shared" si="16"/>
        <v>0</v>
      </c>
      <c r="AX41" s="368">
        <f t="shared" si="17"/>
        <v>0</v>
      </c>
      <c r="AY41" s="368">
        <f t="shared" si="18"/>
        <v>0</v>
      </c>
      <c r="AZ41" s="368">
        <f>IF(AND($W41&gt;$P$83, SUM($AQ$17:AQ40)&gt;0,SUM($AZ$17:AZ40)&lt;$P$79),$P$82,0)</f>
        <v>64.125</v>
      </c>
      <c r="BA41" s="368">
        <f>IF(SUM($AQ$18:$AQ40)&gt;0,($P$79-SUM($AZ$18:$AZ40))*$F$83,0)</f>
        <v>3.7513125</v>
      </c>
      <c r="BB41" s="365">
        <f t="shared" si="37"/>
        <v>67.876312499999997</v>
      </c>
      <c r="BC41" s="370">
        <f t="shared" si="77"/>
        <v>-67.876312499999997</v>
      </c>
      <c r="BD41" s="371">
        <f t="shared" si="19"/>
        <v>-27.838688850246445</v>
      </c>
      <c r="BE41" s="111"/>
      <c r="BF41" s="180">
        <f t="shared" si="39"/>
        <v>0.41013849787798129</v>
      </c>
      <c r="BH41" s="369">
        <f t="shared" si="78"/>
        <v>0</v>
      </c>
      <c r="BI41" s="369">
        <f t="shared" si="79"/>
        <v>0</v>
      </c>
      <c r="BJ41" s="370">
        <f t="shared" si="80"/>
        <v>0</v>
      </c>
      <c r="BK41" s="370">
        <f t="shared" si="81"/>
        <v>0</v>
      </c>
      <c r="BL41" s="370">
        <f t="shared" si="82"/>
        <v>0</v>
      </c>
      <c r="BM41" s="107">
        <f t="shared" si="20"/>
        <v>0</v>
      </c>
      <c r="BN41" s="371">
        <f t="shared" si="83"/>
        <v>0</v>
      </c>
      <c r="BO41" s="370">
        <f t="shared" si="21"/>
        <v>0</v>
      </c>
      <c r="BP41" s="370">
        <f t="shared" si="22"/>
        <v>0</v>
      </c>
      <c r="BQ41" s="370">
        <f t="shared" si="23"/>
        <v>0</v>
      </c>
      <c r="BR41" s="370">
        <f t="shared" si="24"/>
        <v>0</v>
      </c>
      <c r="BS41" s="370">
        <f t="shared" si="25"/>
        <v>0</v>
      </c>
      <c r="BT41" s="370" cm="1">
        <f t="array" ref="BT41">IF($X41&lt;=$O$17,_xlfn.IFS(W41&lt;$F$18+1,$P$106,W41=$F$18+1,$P$107,W41&gt;$F$18,$P$108),0)+CA41</f>
        <v>0</v>
      </c>
      <c r="BU41" s="371">
        <f t="shared" si="46"/>
        <v>0</v>
      </c>
      <c r="BV41" s="371">
        <f t="shared" si="84"/>
        <v>0</v>
      </c>
      <c r="BW41" s="118">
        <f t="shared" si="54"/>
        <v>0</v>
      </c>
      <c r="BY41" s="266">
        <f t="shared" si="27"/>
        <v>0</v>
      </c>
      <c r="BZ41" s="266">
        <f t="shared" si="28"/>
        <v>0</v>
      </c>
      <c r="CA41" s="263">
        <f t="shared" si="47"/>
        <v>0</v>
      </c>
      <c r="CB41" s="265"/>
      <c r="CC41" s="263" cm="1">
        <f t="array" ref="CC41">SUM(BJ41:BM41, -BP41:BT41,BY41)</f>
        <v>0</v>
      </c>
      <c r="CD41" s="263">
        <f t="shared" si="48"/>
        <v>0</v>
      </c>
      <c r="CE41" s="263">
        <f t="shared" si="49"/>
        <v>0</v>
      </c>
      <c r="CF41" s="263">
        <f t="shared" si="50"/>
        <v>0</v>
      </c>
      <c r="CG41" s="263">
        <f t="shared" si="51"/>
        <v>0</v>
      </c>
      <c r="CH41" s="263">
        <f t="shared" si="29"/>
        <v>-2850.0000000000005</v>
      </c>
      <c r="CI41" s="263">
        <f t="shared" si="52"/>
        <v>0</v>
      </c>
      <c r="CJ41" s="263">
        <f t="shared" si="53"/>
        <v>0</v>
      </c>
      <c r="CK41" s="21"/>
    </row>
    <row r="42" spans="2:89" ht="15.75" customHeight="1" x14ac:dyDescent="0.45">
      <c r="C42" s="21" t="s">
        <v>167</v>
      </c>
      <c r="D42" s="276" t="s">
        <v>25</v>
      </c>
      <c r="F42" s="153">
        <v>0.01</v>
      </c>
      <c r="V42" s="105">
        <f t="shared" si="75"/>
        <v>55243</v>
      </c>
      <c r="W42" s="366">
        <f t="shared" si="31"/>
        <v>25</v>
      </c>
      <c r="X42" s="366" t="str">
        <f t="shared" si="32"/>
        <v>-</v>
      </c>
      <c r="Y42" s="367">
        <f t="shared" si="0"/>
        <v>0</v>
      </c>
      <c r="Z42" s="368">
        <f t="shared" si="1"/>
        <v>0</v>
      </c>
      <c r="AA42" s="368">
        <f t="shared" si="2"/>
        <v>0</v>
      </c>
      <c r="AB42" s="107">
        <f t="shared" si="3"/>
        <v>0</v>
      </c>
      <c r="AC42" s="365">
        <f t="shared" si="33"/>
        <v>0</v>
      </c>
      <c r="AD42" s="367">
        <f t="shared" si="4"/>
        <v>0</v>
      </c>
      <c r="AE42" s="368">
        <f t="shared" si="5"/>
        <v>0</v>
      </c>
      <c r="AF42" s="107">
        <f t="shared" si="6"/>
        <v>0</v>
      </c>
      <c r="AG42" s="368">
        <f>IF(AND($W42&gt;$O$83, SUM($AA$17:AA41)&gt;0,SUM($AG$17:AG41)&lt;$O$79),$O$82,0)</f>
        <v>64.125</v>
      </c>
      <c r="AH42" s="370">
        <f>IF(SUM($AA$18:$AA41)&gt;0,($O$79-SUM($AG$18:$AG41))*$F$83,0)</f>
        <v>2.5008750000000002</v>
      </c>
      <c r="AI42" s="365">
        <f t="shared" si="34"/>
        <v>66.625874999999994</v>
      </c>
      <c r="AJ42" s="370">
        <f t="shared" si="76"/>
        <v>-66.625874999999994</v>
      </c>
      <c r="AK42" s="115">
        <f t="shared" si="35"/>
        <v>0</v>
      </c>
      <c r="AL42" s="103"/>
      <c r="AM42" s="371">
        <f t="shared" si="8"/>
        <v>-26.329679209108726</v>
      </c>
      <c r="AN42" s="110"/>
      <c r="AO42" s="369">
        <f t="shared" si="9"/>
        <v>0</v>
      </c>
      <c r="AP42" s="370">
        <f t="shared" si="10"/>
        <v>0</v>
      </c>
      <c r="AQ42" s="370">
        <f t="shared" si="11"/>
        <v>0</v>
      </c>
      <c r="AR42" s="107">
        <f t="shared" si="12"/>
        <v>0</v>
      </c>
      <c r="AS42" s="365">
        <f t="shared" si="36"/>
        <v>0</v>
      </c>
      <c r="AT42" s="368">
        <f t="shared" si="13"/>
        <v>0</v>
      </c>
      <c r="AU42" s="368">
        <f t="shared" si="14"/>
        <v>0</v>
      </c>
      <c r="AV42" s="368">
        <f t="shared" si="15"/>
        <v>0</v>
      </c>
      <c r="AW42" s="368">
        <f t="shared" si="16"/>
        <v>0</v>
      </c>
      <c r="AX42" s="368">
        <f t="shared" si="17"/>
        <v>0</v>
      </c>
      <c r="AY42" s="368">
        <f t="shared" si="18"/>
        <v>0</v>
      </c>
      <c r="AZ42" s="368">
        <f>IF(AND($W42&gt;$P$83, SUM($AQ$17:AQ41)&gt;0,SUM($AZ$17:AZ41)&lt;$P$79),$P$82,0)</f>
        <v>64.125</v>
      </c>
      <c r="BA42" s="368">
        <f>IF(SUM($AQ$18:$AQ41)&gt;0,($P$79-SUM($AZ$18:$AZ41))*$F$83,0)</f>
        <v>2.5008750000000002</v>
      </c>
      <c r="BB42" s="365">
        <f t="shared" si="37"/>
        <v>66.625874999999994</v>
      </c>
      <c r="BC42" s="370">
        <f t="shared" si="77"/>
        <v>-66.625874999999994</v>
      </c>
      <c r="BD42" s="371">
        <f t="shared" si="19"/>
        <v>-26.329679209108726</v>
      </c>
      <c r="BE42" s="111"/>
      <c r="BF42" s="180">
        <f t="shared" si="39"/>
        <v>0.39518699317808176</v>
      </c>
      <c r="BH42" s="369">
        <f t="shared" si="78"/>
        <v>0</v>
      </c>
      <c r="BI42" s="369">
        <f t="shared" si="79"/>
        <v>0</v>
      </c>
      <c r="BJ42" s="370">
        <f t="shared" si="80"/>
        <v>0</v>
      </c>
      <c r="BK42" s="370">
        <f t="shared" si="81"/>
        <v>0</v>
      </c>
      <c r="BL42" s="370">
        <f t="shared" si="82"/>
        <v>0</v>
      </c>
      <c r="BM42" s="107">
        <f t="shared" si="20"/>
        <v>0</v>
      </c>
      <c r="BN42" s="371">
        <f t="shared" si="83"/>
        <v>0</v>
      </c>
      <c r="BO42" s="370">
        <f t="shared" si="21"/>
        <v>0</v>
      </c>
      <c r="BP42" s="370">
        <f t="shared" si="22"/>
        <v>0</v>
      </c>
      <c r="BQ42" s="370">
        <f t="shared" si="23"/>
        <v>0</v>
      </c>
      <c r="BR42" s="370">
        <f t="shared" si="24"/>
        <v>0</v>
      </c>
      <c r="BS42" s="370">
        <f t="shared" si="25"/>
        <v>0</v>
      </c>
      <c r="BT42" s="370" cm="1">
        <f t="array" ref="BT42">IF($X42&lt;=$O$17,_xlfn.IFS(W42&lt;$F$18+1,$P$106,W42=$F$18+1,$P$107,W42&gt;$F$18,$P$108),0)+CA42</f>
        <v>0</v>
      </c>
      <c r="BU42" s="371">
        <f t="shared" si="46"/>
        <v>0</v>
      </c>
      <c r="BV42" s="371">
        <f t="shared" si="84"/>
        <v>0</v>
      </c>
      <c r="BW42" s="118">
        <f t="shared" si="54"/>
        <v>0</v>
      </c>
      <c r="BY42" s="266">
        <f t="shared" si="27"/>
        <v>0</v>
      </c>
      <c r="BZ42" s="266">
        <f t="shared" si="28"/>
        <v>0</v>
      </c>
      <c r="CA42" s="263">
        <f t="shared" si="47"/>
        <v>0</v>
      </c>
      <c r="CB42" s="265"/>
      <c r="CC42" s="263" cm="1">
        <f t="array" ref="CC42">SUM(BJ42:BM42, -BP42:BT42,BY42)</f>
        <v>0</v>
      </c>
      <c r="CD42" s="263">
        <f t="shared" si="48"/>
        <v>0</v>
      </c>
      <c r="CE42" s="263">
        <f t="shared" si="49"/>
        <v>0</v>
      </c>
      <c r="CF42" s="263">
        <f t="shared" si="50"/>
        <v>0</v>
      </c>
      <c r="CG42" s="263">
        <f t="shared" si="51"/>
        <v>0</v>
      </c>
      <c r="CH42" s="263">
        <f t="shared" si="29"/>
        <v>-2850.0000000000005</v>
      </c>
      <c r="CI42" s="263">
        <f t="shared" si="52"/>
        <v>0</v>
      </c>
      <c r="CJ42" s="263">
        <f t="shared" si="53"/>
        <v>0</v>
      </c>
      <c r="CK42" s="21"/>
    </row>
    <row r="43" spans="2:89" ht="15.75" customHeight="1" x14ac:dyDescent="0.45">
      <c r="C43" s="182"/>
      <c r="D43" s="405" t="s">
        <v>292</v>
      </c>
      <c r="E43" s="124"/>
      <c r="F43" s="161">
        <f>BW16</f>
        <v>0</v>
      </c>
      <c r="V43" s="105">
        <f t="shared" si="75"/>
        <v>55609</v>
      </c>
      <c r="W43" s="366">
        <f t="shared" si="31"/>
        <v>26</v>
      </c>
      <c r="X43" s="366" t="str">
        <f t="shared" si="32"/>
        <v>-</v>
      </c>
      <c r="Y43" s="367">
        <f t="shared" si="0"/>
        <v>0</v>
      </c>
      <c r="Z43" s="368">
        <f t="shared" si="1"/>
        <v>0</v>
      </c>
      <c r="AA43" s="368">
        <f t="shared" si="2"/>
        <v>0</v>
      </c>
      <c r="AB43" s="107">
        <f t="shared" si="3"/>
        <v>0</v>
      </c>
      <c r="AC43" s="365">
        <f t="shared" si="33"/>
        <v>0</v>
      </c>
      <c r="AD43" s="367">
        <f t="shared" si="4"/>
        <v>0</v>
      </c>
      <c r="AE43" s="368">
        <f t="shared" si="5"/>
        <v>0</v>
      </c>
      <c r="AF43" s="107">
        <f t="shared" si="6"/>
        <v>0</v>
      </c>
      <c r="AG43" s="368">
        <f>IF(AND($W43&gt;$O$83, SUM($AA$17:AA42)&gt;0,SUM($AG$17:AG42)&lt;$O$79),$O$82,0)</f>
        <v>64.125</v>
      </c>
      <c r="AH43" s="370">
        <f>IF(SUM($AA$18:$AA42)&gt;0,($O$79-SUM($AG$18:$AG42))*$F$83,0)</f>
        <v>1.2504375000000001</v>
      </c>
      <c r="AI43" s="365">
        <f t="shared" si="34"/>
        <v>65.375437500000004</v>
      </c>
      <c r="AJ43" s="370">
        <f t="shared" si="76"/>
        <v>-65.375437500000004</v>
      </c>
      <c r="AK43" s="115">
        <f t="shared" si="35"/>
        <v>0</v>
      </c>
      <c r="AL43" s="103"/>
      <c r="AM43" s="371">
        <f t="shared" si="8"/>
        <v>-24.893694534315326</v>
      </c>
      <c r="AN43" s="110"/>
      <c r="AO43" s="369">
        <f t="shared" si="9"/>
        <v>0</v>
      </c>
      <c r="AP43" s="370">
        <f t="shared" si="10"/>
        <v>0</v>
      </c>
      <c r="AQ43" s="370">
        <f t="shared" si="11"/>
        <v>0</v>
      </c>
      <c r="AR43" s="107">
        <f t="shared" si="12"/>
        <v>0</v>
      </c>
      <c r="AS43" s="365">
        <f t="shared" si="36"/>
        <v>0</v>
      </c>
      <c r="AT43" s="368">
        <f t="shared" si="13"/>
        <v>0</v>
      </c>
      <c r="AU43" s="368">
        <f t="shared" si="14"/>
        <v>0</v>
      </c>
      <c r="AV43" s="368">
        <f t="shared" si="15"/>
        <v>0</v>
      </c>
      <c r="AW43" s="368">
        <f t="shared" si="16"/>
        <v>0</v>
      </c>
      <c r="AX43" s="368">
        <f t="shared" si="17"/>
        <v>0</v>
      </c>
      <c r="AY43" s="368">
        <f t="shared" si="18"/>
        <v>0</v>
      </c>
      <c r="AZ43" s="368">
        <f>IF(AND($W43&gt;$P$83, SUM($AQ$17:AQ42)&gt;0,SUM($AZ$17:AZ42)&lt;$P$79),$P$82,0)</f>
        <v>64.125</v>
      </c>
      <c r="BA43" s="368">
        <f>IF(SUM($AQ$18:$AQ42)&gt;0,($P$79-SUM($AZ$18:$AZ42))*$F$83,0)</f>
        <v>1.2504375000000001</v>
      </c>
      <c r="BB43" s="365">
        <f t="shared" si="37"/>
        <v>65.375437500000004</v>
      </c>
      <c r="BC43" s="370">
        <f t="shared" si="77"/>
        <v>-65.375437500000004</v>
      </c>
      <c r="BD43" s="371">
        <f t="shared" si="19"/>
        <v>-24.893694534315326</v>
      </c>
      <c r="BE43" s="111"/>
      <c r="BF43" s="180">
        <f t="shared" si="39"/>
        <v>0.38078054214651069</v>
      </c>
      <c r="BH43" s="369">
        <f t="shared" si="78"/>
        <v>0</v>
      </c>
      <c r="BI43" s="369">
        <f t="shared" si="79"/>
        <v>0</v>
      </c>
      <c r="BJ43" s="370">
        <f t="shared" si="80"/>
        <v>0</v>
      </c>
      <c r="BK43" s="370">
        <f t="shared" si="81"/>
        <v>0</v>
      </c>
      <c r="BL43" s="370">
        <f t="shared" si="82"/>
        <v>0</v>
      </c>
      <c r="BM43" s="107">
        <f t="shared" si="20"/>
        <v>0</v>
      </c>
      <c r="BN43" s="371">
        <f t="shared" si="83"/>
        <v>0</v>
      </c>
      <c r="BO43" s="370">
        <f t="shared" si="21"/>
        <v>0</v>
      </c>
      <c r="BP43" s="370">
        <f t="shared" si="22"/>
        <v>0</v>
      </c>
      <c r="BQ43" s="370">
        <f t="shared" si="23"/>
        <v>0</v>
      </c>
      <c r="BR43" s="370">
        <f t="shared" si="24"/>
        <v>0</v>
      </c>
      <c r="BS43" s="370">
        <f t="shared" si="25"/>
        <v>0</v>
      </c>
      <c r="BT43" s="370" cm="1">
        <f t="array" ref="BT43">IF($X43&lt;=$O$17,_xlfn.IFS(W43&lt;$F$18+1,$P$106,W43=$F$18+1,$P$107,W43&gt;$F$18,$P$108),0)+CA43</f>
        <v>0</v>
      </c>
      <c r="BU43" s="371">
        <f t="shared" si="46"/>
        <v>0</v>
      </c>
      <c r="BV43" s="371">
        <f t="shared" si="84"/>
        <v>0</v>
      </c>
      <c r="BW43" s="118">
        <f t="shared" si="54"/>
        <v>0</v>
      </c>
      <c r="BY43" s="266">
        <f t="shared" si="27"/>
        <v>0</v>
      </c>
      <c r="BZ43" s="266">
        <f t="shared" si="28"/>
        <v>0</v>
      </c>
      <c r="CA43" s="263">
        <f t="shared" si="47"/>
        <v>0</v>
      </c>
      <c r="CB43" s="265"/>
      <c r="CC43" s="263" cm="1">
        <f t="array" ref="CC43">SUM(BJ43:BM43, -BP43:BT43,BY43)</f>
        <v>0</v>
      </c>
      <c r="CD43" s="263">
        <f t="shared" si="48"/>
        <v>0</v>
      </c>
      <c r="CE43" s="263">
        <f t="shared" si="49"/>
        <v>0</v>
      </c>
      <c r="CF43" s="263">
        <f t="shared" si="50"/>
        <v>0</v>
      </c>
      <c r="CG43" s="263">
        <f t="shared" si="51"/>
        <v>0</v>
      </c>
      <c r="CH43" s="263">
        <f t="shared" si="29"/>
        <v>-2850.0000000000005</v>
      </c>
      <c r="CI43" s="263">
        <f t="shared" si="52"/>
        <v>0</v>
      </c>
      <c r="CJ43" s="263">
        <f t="shared" si="53"/>
        <v>0</v>
      </c>
      <c r="CK43" s="21"/>
    </row>
    <row r="44" spans="2:89" ht="15.75" customHeight="1" x14ac:dyDescent="0.3">
      <c r="V44" s="105">
        <f t="shared" si="75"/>
        <v>55974</v>
      </c>
      <c r="W44" s="366">
        <f t="shared" si="31"/>
        <v>27</v>
      </c>
      <c r="X44" s="366" t="str">
        <f t="shared" si="32"/>
        <v>-</v>
      </c>
      <c r="Y44" s="367">
        <f t="shared" si="0"/>
        <v>0</v>
      </c>
      <c r="Z44" s="368">
        <f t="shared" si="1"/>
        <v>0</v>
      </c>
      <c r="AA44" s="368">
        <f t="shared" si="2"/>
        <v>0</v>
      </c>
      <c r="AB44" s="107">
        <f t="shared" si="3"/>
        <v>0</v>
      </c>
      <c r="AC44" s="365">
        <f t="shared" si="33"/>
        <v>0</v>
      </c>
      <c r="AD44" s="367">
        <f t="shared" si="4"/>
        <v>0</v>
      </c>
      <c r="AE44" s="368">
        <f t="shared" si="5"/>
        <v>0</v>
      </c>
      <c r="AF44" s="107">
        <f t="shared" si="6"/>
        <v>0</v>
      </c>
      <c r="AG44" s="368">
        <f>IF(AND($W44&gt;$O$83, SUM($AA$17:AA43)&gt;0,SUM($AG$17:AG43)&lt;$O$79),$O$82,0)</f>
        <v>0</v>
      </c>
      <c r="AH44" s="370">
        <f>IF(SUM($AA$18:$AA43)&gt;0,($O$79-SUM($AG$18:$AG43))*$F$83,0)</f>
        <v>0</v>
      </c>
      <c r="AI44" s="365">
        <f t="shared" si="34"/>
        <v>0</v>
      </c>
      <c r="AJ44" s="370">
        <f t="shared" si="76"/>
        <v>0</v>
      </c>
      <c r="AK44" s="115">
        <f t="shared" si="35"/>
        <v>0</v>
      </c>
      <c r="AL44" s="103"/>
      <c r="AM44" s="371">
        <f t="shared" si="8"/>
        <v>0</v>
      </c>
      <c r="AN44" s="110"/>
      <c r="AO44" s="369">
        <f t="shared" si="9"/>
        <v>0</v>
      </c>
      <c r="AP44" s="370">
        <f t="shared" si="10"/>
        <v>0</v>
      </c>
      <c r="AQ44" s="370">
        <f t="shared" si="11"/>
        <v>0</v>
      </c>
      <c r="AR44" s="107">
        <f t="shared" si="12"/>
        <v>0</v>
      </c>
      <c r="AS44" s="365">
        <f t="shared" si="36"/>
        <v>0</v>
      </c>
      <c r="AT44" s="368">
        <f t="shared" si="13"/>
        <v>0</v>
      </c>
      <c r="AU44" s="368">
        <f t="shared" si="14"/>
        <v>0</v>
      </c>
      <c r="AV44" s="368">
        <f t="shared" si="15"/>
        <v>0</v>
      </c>
      <c r="AW44" s="368">
        <f t="shared" si="16"/>
        <v>0</v>
      </c>
      <c r="AX44" s="368">
        <f t="shared" si="17"/>
        <v>0</v>
      </c>
      <c r="AY44" s="368">
        <f t="shared" si="18"/>
        <v>0</v>
      </c>
      <c r="AZ44" s="368">
        <f>IF(AND($W44&gt;$P$83, SUM($AQ$17:AQ43)&gt;0,SUM($AZ$17:AZ43)&lt;$P$79),$P$82,0)</f>
        <v>0</v>
      </c>
      <c r="BA44" s="368">
        <f>IF(SUM($AQ$18:$AQ43)&gt;0,($P$79-SUM($AZ$18:$AZ43))*$F$83,0)</f>
        <v>0</v>
      </c>
      <c r="BB44" s="365">
        <f t="shared" si="37"/>
        <v>0</v>
      </c>
      <c r="BC44" s="370">
        <f t="shared" si="77"/>
        <v>0</v>
      </c>
      <c r="BD44" s="371">
        <f t="shared" si="19"/>
        <v>0</v>
      </c>
      <c r="BE44" s="111"/>
      <c r="BF44" s="180">
        <f t="shared" si="39"/>
        <v>0.36689927497702979</v>
      </c>
      <c r="BH44" s="369">
        <f t="shared" si="78"/>
        <v>0</v>
      </c>
      <c r="BI44" s="369">
        <f t="shared" si="79"/>
        <v>0</v>
      </c>
      <c r="BJ44" s="370">
        <f t="shared" si="80"/>
        <v>0</v>
      </c>
      <c r="BK44" s="370">
        <f t="shared" si="81"/>
        <v>0</v>
      </c>
      <c r="BL44" s="370">
        <f t="shared" si="82"/>
        <v>0</v>
      </c>
      <c r="BM44" s="107">
        <f t="shared" si="20"/>
        <v>0</v>
      </c>
      <c r="BN44" s="371">
        <f t="shared" si="83"/>
        <v>0</v>
      </c>
      <c r="BO44" s="370">
        <f t="shared" si="21"/>
        <v>0</v>
      </c>
      <c r="BP44" s="370">
        <f t="shared" si="22"/>
        <v>0</v>
      </c>
      <c r="BQ44" s="370">
        <f t="shared" si="23"/>
        <v>0</v>
      </c>
      <c r="BR44" s="370">
        <f t="shared" si="24"/>
        <v>0</v>
      </c>
      <c r="BS44" s="370">
        <f t="shared" si="25"/>
        <v>0</v>
      </c>
      <c r="BT44" s="370" cm="1">
        <f t="array" ref="BT44">IF($X44&lt;=$O$17,_xlfn.IFS(W44&lt;$F$18+1,$P$106,W44=$F$18+1,$P$107,W44&gt;$F$18,$P$108),0)+CA44</f>
        <v>0</v>
      </c>
      <c r="BU44" s="371">
        <f t="shared" si="46"/>
        <v>0</v>
      </c>
      <c r="BV44" s="371">
        <f t="shared" si="84"/>
        <v>0</v>
      </c>
      <c r="BW44" s="118">
        <f t="shared" si="54"/>
        <v>0</v>
      </c>
      <c r="BY44" s="266">
        <f t="shared" si="27"/>
        <v>0</v>
      </c>
      <c r="BZ44" s="266">
        <f t="shared" si="28"/>
        <v>0</v>
      </c>
      <c r="CA44" s="263">
        <f t="shared" si="47"/>
        <v>0</v>
      </c>
      <c r="CB44" s="265"/>
      <c r="CC44" s="263" cm="1">
        <f t="array" ref="CC44">SUM(BJ44:BM44, -BP44:BT44,BY44)</f>
        <v>0</v>
      </c>
      <c r="CD44" s="263">
        <f t="shared" si="48"/>
        <v>0</v>
      </c>
      <c r="CE44" s="263">
        <f t="shared" si="49"/>
        <v>0</v>
      </c>
      <c r="CF44" s="263">
        <f t="shared" si="50"/>
        <v>0</v>
      </c>
      <c r="CG44" s="263">
        <f t="shared" si="51"/>
        <v>0</v>
      </c>
      <c r="CH44" s="263">
        <f t="shared" si="29"/>
        <v>-2850.0000000000005</v>
      </c>
      <c r="CI44" s="263">
        <f t="shared" si="52"/>
        <v>0</v>
      </c>
      <c r="CJ44" s="263">
        <f t="shared" si="53"/>
        <v>0</v>
      </c>
      <c r="CK44" s="21"/>
    </row>
    <row r="45" spans="2:89" ht="15.75" customHeight="1" x14ac:dyDescent="0.3">
      <c r="B45" s="223" t="s">
        <v>168</v>
      </c>
      <c r="F45" s="21" t="s">
        <v>152</v>
      </c>
      <c r="J45" s="223" t="s">
        <v>168</v>
      </c>
      <c r="O45" s="21" t="s">
        <v>55</v>
      </c>
      <c r="P45" s="21" t="s">
        <v>98</v>
      </c>
      <c r="V45" s="105">
        <f t="shared" si="75"/>
        <v>56339</v>
      </c>
      <c r="W45" s="366">
        <f t="shared" si="31"/>
        <v>28</v>
      </c>
      <c r="X45" s="366" t="str">
        <f t="shared" si="32"/>
        <v>-</v>
      </c>
      <c r="Y45" s="367">
        <f t="shared" si="0"/>
        <v>0</v>
      </c>
      <c r="Z45" s="368">
        <f t="shared" si="1"/>
        <v>0</v>
      </c>
      <c r="AA45" s="368">
        <f t="shared" si="2"/>
        <v>0</v>
      </c>
      <c r="AB45" s="107">
        <f t="shared" si="3"/>
        <v>0</v>
      </c>
      <c r="AC45" s="365">
        <f t="shared" si="33"/>
        <v>0</v>
      </c>
      <c r="AD45" s="367">
        <f t="shared" si="4"/>
        <v>0</v>
      </c>
      <c r="AE45" s="368">
        <f t="shared" si="5"/>
        <v>0</v>
      </c>
      <c r="AF45" s="107">
        <f t="shared" si="6"/>
        <v>0</v>
      </c>
      <c r="AG45" s="368">
        <f>IF(AND($W45&gt;$O$83, SUM($AA$17:AA44)&gt;0,SUM($AG$17:AG44)&lt;$O$79),$O$82,0)</f>
        <v>0</v>
      </c>
      <c r="AH45" s="370">
        <f>IF(SUM($AA$18:$AA44)&gt;0,($O$79-SUM($AG$18:$AG44))*$F$83,0)</f>
        <v>0</v>
      </c>
      <c r="AI45" s="365">
        <f t="shared" si="34"/>
        <v>0</v>
      </c>
      <c r="AJ45" s="370">
        <f t="shared" si="76"/>
        <v>0</v>
      </c>
      <c r="AK45" s="115">
        <f t="shared" si="35"/>
        <v>0</v>
      </c>
      <c r="AL45" s="103"/>
      <c r="AM45" s="371">
        <f t="shared" si="8"/>
        <v>0</v>
      </c>
      <c r="AN45" s="110"/>
      <c r="AO45" s="369">
        <f t="shared" si="9"/>
        <v>0</v>
      </c>
      <c r="AP45" s="370">
        <f t="shared" si="10"/>
        <v>0</v>
      </c>
      <c r="AQ45" s="370">
        <f t="shared" si="11"/>
        <v>0</v>
      </c>
      <c r="AR45" s="107">
        <f t="shared" si="12"/>
        <v>0</v>
      </c>
      <c r="AS45" s="365">
        <f t="shared" si="36"/>
        <v>0</v>
      </c>
      <c r="AT45" s="368">
        <f t="shared" si="13"/>
        <v>0</v>
      </c>
      <c r="AU45" s="368">
        <f t="shared" si="14"/>
        <v>0</v>
      </c>
      <c r="AV45" s="368">
        <f t="shared" si="15"/>
        <v>0</v>
      </c>
      <c r="AW45" s="368">
        <f t="shared" si="16"/>
        <v>0</v>
      </c>
      <c r="AX45" s="368">
        <f t="shared" si="17"/>
        <v>0</v>
      </c>
      <c r="AY45" s="368">
        <f t="shared" si="18"/>
        <v>0</v>
      </c>
      <c r="AZ45" s="368">
        <f>IF(AND($W45&gt;$P$83, SUM($AQ$17:AQ44)&gt;0,SUM($AZ$17:AZ44)&lt;$P$79),$P$82,0)</f>
        <v>0</v>
      </c>
      <c r="BA45" s="368">
        <f>IF(SUM($AQ$18:$AQ44)&gt;0,($P$79-SUM($AZ$18:$AZ44))*$F$83,0)</f>
        <v>0</v>
      </c>
      <c r="BB45" s="365">
        <f t="shared" si="37"/>
        <v>0</v>
      </c>
      <c r="BC45" s="370">
        <f t="shared" si="77"/>
        <v>0</v>
      </c>
      <c r="BD45" s="371">
        <f t="shared" si="19"/>
        <v>0</v>
      </c>
      <c r="BE45" s="111"/>
      <c r="BF45" s="180">
        <f t="shared" si="39"/>
        <v>0.35352404621262151</v>
      </c>
      <c r="BH45" s="369">
        <f t="shared" si="78"/>
        <v>0</v>
      </c>
      <c r="BI45" s="369">
        <f t="shared" si="79"/>
        <v>0</v>
      </c>
      <c r="BJ45" s="370">
        <f t="shared" si="80"/>
        <v>0</v>
      </c>
      <c r="BK45" s="370">
        <f t="shared" si="81"/>
        <v>0</v>
      </c>
      <c r="BL45" s="370">
        <f t="shared" si="82"/>
        <v>0</v>
      </c>
      <c r="BM45" s="107">
        <f t="shared" si="20"/>
        <v>0</v>
      </c>
      <c r="BN45" s="371">
        <f t="shared" si="83"/>
        <v>0</v>
      </c>
      <c r="BO45" s="370">
        <f t="shared" si="21"/>
        <v>0</v>
      </c>
      <c r="BP45" s="370">
        <f t="shared" si="22"/>
        <v>0</v>
      </c>
      <c r="BQ45" s="370">
        <f t="shared" si="23"/>
        <v>0</v>
      </c>
      <c r="BR45" s="370">
        <f t="shared" si="24"/>
        <v>0</v>
      </c>
      <c r="BS45" s="370">
        <f t="shared" si="25"/>
        <v>0</v>
      </c>
      <c r="BT45" s="370" cm="1">
        <f t="array" ref="BT45">IF($X45&lt;=$O$17,_xlfn.IFS(W45&lt;$F$18+1,$P$106,W45=$F$18+1,$P$107,W45&gt;$F$18,$P$108),0)+CA45</f>
        <v>0</v>
      </c>
      <c r="BU45" s="371">
        <f t="shared" si="46"/>
        <v>0</v>
      </c>
      <c r="BV45" s="371">
        <f t="shared" si="84"/>
        <v>0</v>
      </c>
      <c r="BW45" s="118">
        <f t="shared" si="54"/>
        <v>0</v>
      </c>
      <c r="BY45" s="266">
        <f t="shared" si="27"/>
        <v>0</v>
      </c>
      <c r="BZ45" s="266">
        <f t="shared" si="28"/>
        <v>0</v>
      </c>
      <c r="CA45" s="263">
        <f t="shared" si="47"/>
        <v>0</v>
      </c>
      <c r="CB45" s="265"/>
      <c r="CC45" s="263" cm="1">
        <f t="array" ref="CC45">SUM(BJ45:BM45, -BP45:BT45,BY45)</f>
        <v>0</v>
      </c>
      <c r="CD45" s="263">
        <f t="shared" si="48"/>
        <v>0</v>
      </c>
      <c r="CE45" s="263">
        <f t="shared" si="49"/>
        <v>0</v>
      </c>
      <c r="CF45" s="263">
        <f t="shared" si="50"/>
        <v>0</v>
      </c>
      <c r="CG45" s="263">
        <f t="shared" si="51"/>
        <v>0</v>
      </c>
      <c r="CH45" s="263">
        <f t="shared" si="29"/>
        <v>-2850.0000000000005</v>
      </c>
      <c r="CI45" s="263">
        <f t="shared" si="52"/>
        <v>0</v>
      </c>
      <c r="CJ45" s="263">
        <f t="shared" si="53"/>
        <v>0</v>
      </c>
      <c r="CK45" s="21"/>
    </row>
    <row r="46" spans="2:89" ht="15.75" customHeight="1" x14ac:dyDescent="0.45">
      <c r="D46" s="276" t="s">
        <v>21</v>
      </c>
      <c r="F46" s="311">
        <f>SUM(F47:F48)</f>
        <v>50</v>
      </c>
      <c r="J46" s="35"/>
      <c r="K46" s="119" t="s">
        <v>170</v>
      </c>
      <c r="N46" s="393" t="s">
        <v>21</v>
      </c>
      <c r="O46" s="91">
        <f>F46*F65</f>
        <v>47.5</v>
      </c>
      <c r="P46" s="91">
        <f>F46*(1-F67)</f>
        <v>47.5</v>
      </c>
      <c r="Q46" s="21" t="s">
        <v>155</v>
      </c>
      <c r="V46" s="105">
        <f t="shared" si="75"/>
        <v>56704</v>
      </c>
      <c r="W46" s="366">
        <f t="shared" si="31"/>
        <v>29</v>
      </c>
      <c r="X46" s="366" t="str">
        <f t="shared" si="32"/>
        <v>-</v>
      </c>
      <c r="Y46" s="367">
        <f t="shared" si="0"/>
        <v>0</v>
      </c>
      <c r="Z46" s="368">
        <f t="shared" si="1"/>
        <v>0</v>
      </c>
      <c r="AA46" s="368">
        <f t="shared" si="2"/>
        <v>0</v>
      </c>
      <c r="AB46" s="107">
        <f t="shared" si="3"/>
        <v>0</v>
      </c>
      <c r="AC46" s="365">
        <f t="shared" si="33"/>
        <v>0</v>
      </c>
      <c r="AD46" s="367">
        <f t="shared" si="4"/>
        <v>0</v>
      </c>
      <c r="AE46" s="368">
        <f t="shared" si="5"/>
        <v>0</v>
      </c>
      <c r="AF46" s="107">
        <f t="shared" si="6"/>
        <v>0</v>
      </c>
      <c r="AG46" s="368">
        <f>IF(AND($W46&gt;$O$83, SUM($AA$17:AA45)&gt;0,SUM($AG$17:AG45)&lt;$O$79),$O$82,0)</f>
        <v>0</v>
      </c>
      <c r="AH46" s="370">
        <f>IF(SUM($AA$18:$AA45)&gt;0,($O$79-SUM($AG$18:$AG45))*$F$83,0)</f>
        <v>0</v>
      </c>
      <c r="AI46" s="365">
        <f t="shared" si="34"/>
        <v>0</v>
      </c>
      <c r="AJ46" s="370">
        <f t="shared" si="76"/>
        <v>0</v>
      </c>
      <c r="AK46" s="115">
        <f t="shared" si="35"/>
        <v>0</v>
      </c>
      <c r="AL46" s="103"/>
      <c r="AM46" s="371">
        <f t="shared" si="8"/>
        <v>0</v>
      </c>
      <c r="AN46" s="110"/>
      <c r="AO46" s="369">
        <f t="shared" si="9"/>
        <v>0</v>
      </c>
      <c r="AP46" s="370">
        <f t="shared" si="10"/>
        <v>0</v>
      </c>
      <c r="AQ46" s="370">
        <f t="shared" si="11"/>
        <v>0</v>
      </c>
      <c r="AR46" s="107">
        <f t="shared" si="12"/>
        <v>0</v>
      </c>
      <c r="AS46" s="365">
        <f t="shared" si="36"/>
        <v>0</v>
      </c>
      <c r="AT46" s="368">
        <f t="shared" si="13"/>
        <v>0</v>
      </c>
      <c r="AU46" s="368">
        <f t="shared" si="14"/>
        <v>0</v>
      </c>
      <c r="AV46" s="368">
        <f t="shared" si="15"/>
        <v>0</v>
      </c>
      <c r="AW46" s="368">
        <f t="shared" si="16"/>
        <v>0</v>
      </c>
      <c r="AX46" s="368">
        <f t="shared" si="17"/>
        <v>0</v>
      </c>
      <c r="AY46" s="368">
        <f t="shared" si="18"/>
        <v>0</v>
      </c>
      <c r="AZ46" s="368">
        <f>IF(AND($W46&gt;$P$83, SUM($AQ$17:AQ45)&gt;0,SUM($AZ$17:AZ45)&lt;$P$79),$P$82,0)</f>
        <v>0</v>
      </c>
      <c r="BA46" s="368">
        <f>IF(SUM($AQ$18:$AQ45)&gt;0,($P$79-SUM($AZ$18:$AZ45))*$F$83,0)</f>
        <v>0</v>
      </c>
      <c r="BB46" s="365">
        <f t="shared" si="37"/>
        <v>0</v>
      </c>
      <c r="BC46" s="370">
        <f t="shared" si="77"/>
        <v>0</v>
      </c>
      <c r="BD46" s="371">
        <f t="shared" si="19"/>
        <v>0</v>
      </c>
      <c r="BE46" s="111"/>
      <c r="BF46" s="180">
        <f t="shared" si="39"/>
        <v>0.3406364083395047</v>
      </c>
      <c r="BH46" s="369">
        <f t="shared" si="78"/>
        <v>0</v>
      </c>
      <c r="BI46" s="369">
        <f t="shared" si="79"/>
        <v>0</v>
      </c>
      <c r="BJ46" s="370">
        <f t="shared" si="80"/>
        <v>0</v>
      </c>
      <c r="BK46" s="370">
        <f t="shared" si="81"/>
        <v>0</v>
      </c>
      <c r="BL46" s="370">
        <f t="shared" si="82"/>
        <v>0</v>
      </c>
      <c r="BM46" s="107">
        <f t="shared" si="20"/>
        <v>0</v>
      </c>
      <c r="BN46" s="371">
        <f t="shared" si="83"/>
        <v>0</v>
      </c>
      <c r="BO46" s="370">
        <f t="shared" si="21"/>
        <v>0</v>
      </c>
      <c r="BP46" s="370">
        <f t="shared" si="22"/>
        <v>0</v>
      </c>
      <c r="BQ46" s="370">
        <f t="shared" si="23"/>
        <v>0</v>
      </c>
      <c r="BR46" s="370">
        <f t="shared" si="24"/>
        <v>0</v>
      </c>
      <c r="BS46" s="370">
        <f t="shared" si="25"/>
        <v>0</v>
      </c>
      <c r="BT46" s="370" cm="1">
        <f t="array" ref="BT46">IF($X46&lt;=$O$17,_xlfn.IFS(W46&lt;$F$18+1,$P$106,W46=$F$18+1,$P$107,W46&gt;$F$18,$P$108),0)+CA46</f>
        <v>0</v>
      </c>
      <c r="BU46" s="371">
        <f t="shared" si="46"/>
        <v>0</v>
      </c>
      <c r="BV46" s="371">
        <f t="shared" si="84"/>
        <v>0</v>
      </c>
      <c r="BW46" s="118">
        <f t="shared" si="54"/>
        <v>0</v>
      </c>
      <c r="BY46" s="266">
        <f t="shared" si="27"/>
        <v>0</v>
      </c>
      <c r="BZ46" s="266">
        <f t="shared" si="28"/>
        <v>0</v>
      </c>
      <c r="CA46" s="263">
        <f t="shared" si="47"/>
        <v>0</v>
      </c>
      <c r="CB46" s="265"/>
      <c r="CC46" s="263" cm="1">
        <f t="array" ref="CC46">SUM(BJ46:BM46, -BP46:BT46,BY46)</f>
        <v>0</v>
      </c>
      <c r="CD46" s="263">
        <f t="shared" si="48"/>
        <v>0</v>
      </c>
      <c r="CE46" s="263">
        <f t="shared" si="49"/>
        <v>0</v>
      </c>
      <c r="CF46" s="263">
        <f t="shared" si="50"/>
        <v>0</v>
      </c>
      <c r="CG46" s="263">
        <f t="shared" si="51"/>
        <v>0</v>
      </c>
      <c r="CH46" s="263">
        <f t="shared" si="29"/>
        <v>-2850.0000000000005</v>
      </c>
      <c r="CI46" s="263">
        <f t="shared" si="52"/>
        <v>0</v>
      </c>
      <c r="CJ46" s="263">
        <f t="shared" si="53"/>
        <v>0</v>
      </c>
      <c r="CK46" s="21"/>
    </row>
    <row r="47" spans="2:89" ht="15.75" customHeight="1" x14ac:dyDescent="0.45">
      <c r="C47" s="119" t="s">
        <v>171</v>
      </c>
      <c r="D47" s="276" t="s">
        <v>21</v>
      </c>
      <c r="F47" s="155">
        <f>事業費用概算!G27</f>
        <v>0</v>
      </c>
      <c r="K47" s="119" t="s">
        <v>172</v>
      </c>
      <c r="N47" s="393" t="s">
        <v>21</v>
      </c>
      <c r="O47" s="169"/>
      <c r="P47" s="91">
        <f>F72</f>
        <v>0</v>
      </c>
      <c r="Q47" s="21" t="s">
        <v>274</v>
      </c>
      <c r="V47" s="105">
        <f>IF(W47=1,DATE(YEAR($F$20)+(MONTH($F$20)&gt;=4),4,0),EOMONTH(V46,12))</f>
        <v>57070</v>
      </c>
      <c r="W47" s="366">
        <f t="shared" si="31"/>
        <v>30</v>
      </c>
      <c r="X47" s="366" t="str">
        <f t="shared" si="32"/>
        <v>-</v>
      </c>
      <c r="Y47" s="367">
        <f t="shared" si="0"/>
        <v>0</v>
      </c>
      <c r="Z47" s="368">
        <f t="shared" si="1"/>
        <v>0</v>
      </c>
      <c r="AA47" s="368">
        <f t="shared" si="2"/>
        <v>0</v>
      </c>
      <c r="AB47" s="107">
        <f t="shared" si="3"/>
        <v>0</v>
      </c>
      <c r="AC47" s="365">
        <f t="shared" si="33"/>
        <v>0</v>
      </c>
      <c r="AD47" s="367">
        <f t="shared" si="4"/>
        <v>0</v>
      </c>
      <c r="AE47" s="368">
        <f t="shared" si="5"/>
        <v>0</v>
      </c>
      <c r="AF47" s="107">
        <f t="shared" si="6"/>
        <v>0</v>
      </c>
      <c r="AG47" s="368">
        <f>IF(AND($W47&gt;$O$83, SUM($AA$17:AA46)&gt;0,SUM($AG$17:AG46)&lt;$O$79),$O$82,0)</f>
        <v>0</v>
      </c>
      <c r="AH47" s="370">
        <f>IF(SUM($AA$18:$AA46)&gt;0,($O$79-SUM($AG$18:$AG46))*$F$83,0)</f>
        <v>0</v>
      </c>
      <c r="AI47" s="365">
        <f t="shared" si="34"/>
        <v>0</v>
      </c>
      <c r="AJ47" s="370">
        <f>AC47-AI47</f>
        <v>0</v>
      </c>
      <c r="AK47" s="115">
        <f t="shared" si="35"/>
        <v>0</v>
      </c>
      <c r="AL47" s="103"/>
      <c r="AM47" s="371">
        <f t="shared" si="8"/>
        <v>0</v>
      </c>
      <c r="AN47" s="110"/>
      <c r="AO47" s="369">
        <f t="shared" si="9"/>
        <v>0</v>
      </c>
      <c r="AP47" s="370">
        <f t="shared" si="10"/>
        <v>0</v>
      </c>
      <c r="AQ47" s="370">
        <f t="shared" si="11"/>
        <v>0</v>
      </c>
      <c r="AR47" s="107">
        <f t="shared" si="12"/>
        <v>0</v>
      </c>
      <c r="AS47" s="365">
        <f t="shared" si="36"/>
        <v>0</v>
      </c>
      <c r="AT47" s="368">
        <f t="shared" si="13"/>
        <v>0</v>
      </c>
      <c r="AU47" s="368">
        <f t="shared" si="14"/>
        <v>0</v>
      </c>
      <c r="AV47" s="368">
        <f t="shared" si="15"/>
        <v>0</v>
      </c>
      <c r="AW47" s="368">
        <f t="shared" si="16"/>
        <v>0</v>
      </c>
      <c r="AX47" s="368">
        <f t="shared" si="17"/>
        <v>0</v>
      </c>
      <c r="AY47" s="368">
        <f t="shared" si="18"/>
        <v>0</v>
      </c>
      <c r="AZ47" s="368">
        <f>IF(AND($W47&gt;$P$83, SUM($AQ$17:AQ46)&gt;0,SUM($AZ$17:AZ46)&lt;$P$79),$P$82,0)</f>
        <v>0</v>
      </c>
      <c r="BA47" s="368">
        <f>IF(SUM($AQ$18:$AQ46)&gt;0,($P$79-SUM($AZ$18:$AZ46))*$F$83,0)</f>
        <v>0</v>
      </c>
      <c r="BB47" s="365">
        <f t="shared" si="37"/>
        <v>0</v>
      </c>
      <c r="BC47" s="370">
        <f>AS47-BB47</f>
        <v>0</v>
      </c>
      <c r="BD47" s="371">
        <f t="shared" si="19"/>
        <v>0</v>
      </c>
      <c r="BE47" s="125"/>
      <c r="BF47" s="181">
        <f t="shared" si="39"/>
        <v>0.32821858634377438</v>
      </c>
      <c r="BH47" s="369">
        <f>AT47</f>
        <v>0</v>
      </c>
      <c r="BI47" s="369">
        <f>AU47</f>
        <v>0</v>
      </c>
      <c r="BJ47" s="370">
        <f>AV47</f>
        <v>0</v>
      </c>
      <c r="BK47" s="370">
        <f>AW47</f>
        <v>0</v>
      </c>
      <c r="BL47" s="370">
        <f>AY47</f>
        <v>0</v>
      </c>
      <c r="BM47" s="107">
        <f t="shared" si="20"/>
        <v>0</v>
      </c>
      <c r="BN47" s="371">
        <f>SUM(BH47:BM47)</f>
        <v>0</v>
      </c>
      <c r="BO47" s="370">
        <f t="shared" si="21"/>
        <v>0</v>
      </c>
      <c r="BP47" s="370">
        <f t="shared" si="22"/>
        <v>0</v>
      </c>
      <c r="BQ47" s="370">
        <f t="shared" si="23"/>
        <v>0</v>
      </c>
      <c r="BR47" s="370">
        <f t="shared" si="24"/>
        <v>0</v>
      </c>
      <c r="BS47" s="370">
        <f t="shared" si="25"/>
        <v>0</v>
      </c>
      <c r="BT47" s="370" cm="1">
        <f t="array" ref="BT47">IF($X47&lt;=$O$17,_xlfn.IFS(W47&lt;$F$18+1,$P$106,W47=$F$18+1,$P$107,W47&gt;$F$18,$P$108),0)+CA47</f>
        <v>0</v>
      </c>
      <c r="BU47" s="371">
        <f t="shared" si="46"/>
        <v>0</v>
      </c>
      <c r="BV47" s="371">
        <f>BN47-BU47</f>
        <v>0</v>
      </c>
      <c r="BW47" s="118">
        <f t="shared" si="54"/>
        <v>0</v>
      </c>
      <c r="BY47" s="266">
        <f t="shared" si="27"/>
        <v>0</v>
      </c>
      <c r="BZ47" s="266">
        <f t="shared" si="28"/>
        <v>0</v>
      </c>
      <c r="CA47" s="263">
        <f t="shared" si="47"/>
        <v>0</v>
      </c>
      <c r="CB47" s="265"/>
      <c r="CC47" s="263" cm="1">
        <f t="array" ref="CC47">SUM(BJ47:BM47, -BP47:BT47,BY47)</f>
        <v>0</v>
      </c>
      <c r="CD47" s="263">
        <f t="shared" si="48"/>
        <v>0</v>
      </c>
      <c r="CE47" s="263">
        <f t="shared" si="49"/>
        <v>0</v>
      </c>
      <c r="CF47" s="263">
        <f t="shared" si="50"/>
        <v>0</v>
      </c>
      <c r="CG47" s="263">
        <f t="shared" si="51"/>
        <v>0</v>
      </c>
      <c r="CH47" s="263">
        <f t="shared" si="29"/>
        <v>-2850.0000000000005</v>
      </c>
      <c r="CI47" s="263">
        <f t="shared" si="52"/>
        <v>0</v>
      </c>
      <c r="CJ47" s="263">
        <f t="shared" si="53"/>
        <v>0</v>
      </c>
      <c r="CK47" s="21"/>
    </row>
    <row r="48" spans="2:89" ht="15.75" customHeight="1" thickBot="1" x14ac:dyDescent="0.5">
      <c r="C48" s="119" t="s">
        <v>173</v>
      </c>
      <c r="D48" s="276" t="s">
        <v>21</v>
      </c>
      <c r="F48" s="429">
        <f>事業費用概算!G28</f>
        <v>50</v>
      </c>
      <c r="K48" s="119" t="s">
        <v>174</v>
      </c>
      <c r="N48" s="393" t="s">
        <v>21</v>
      </c>
      <c r="O48" s="91">
        <f>O46-O47</f>
        <v>47.5</v>
      </c>
      <c r="P48" s="91">
        <f>P46-P47</f>
        <v>47.5</v>
      </c>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Y48" s="95"/>
      <c r="BZ48" s="95"/>
      <c r="CA48" s="95"/>
      <c r="CB48" s="98"/>
      <c r="CC48" s="95"/>
      <c r="CD48" s="263"/>
      <c r="CE48" s="263"/>
      <c r="CF48" s="263"/>
      <c r="CG48" s="263"/>
      <c r="CH48" s="263"/>
      <c r="CI48" s="263"/>
      <c r="CJ48" s="263"/>
      <c r="CK48" s="21"/>
    </row>
    <row r="49" spans="1:89" ht="15.75" customHeight="1" thickTop="1" x14ac:dyDescent="0.55000000000000004">
      <c r="E49" s="22"/>
      <c r="F49" s="22"/>
      <c r="K49" s="119" t="s">
        <v>175</v>
      </c>
      <c r="N49" s="393" t="s">
        <v>21</v>
      </c>
      <c r="O49" s="91">
        <f>O46*$F$19</f>
        <v>950</v>
      </c>
      <c r="P49" s="91">
        <f>P48*$F$19</f>
        <v>950</v>
      </c>
      <c r="V49" s="105"/>
      <c r="X49" s="128" t="s">
        <v>68</v>
      </c>
      <c r="Y49" s="375">
        <f t="shared" ref="Y49:AK49" si="85">SUM(Y18:Y48)</f>
        <v>1140</v>
      </c>
      <c r="Z49" s="375">
        <f t="shared" si="85"/>
        <v>0</v>
      </c>
      <c r="AA49" s="375">
        <f t="shared" si="85"/>
        <v>1282.5</v>
      </c>
      <c r="AB49" s="375">
        <f t="shared" si="85"/>
        <v>0</v>
      </c>
      <c r="AC49" s="375">
        <f t="shared" si="85"/>
        <v>2422.5</v>
      </c>
      <c r="AD49" s="375">
        <f t="shared" si="85"/>
        <v>2850</v>
      </c>
      <c r="AE49" s="375">
        <f t="shared" si="85"/>
        <v>950</v>
      </c>
      <c r="AF49" s="375">
        <f t="shared" si="85"/>
        <v>30</v>
      </c>
      <c r="AG49" s="375">
        <f t="shared" si="85"/>
        <v>1282.5</v>
      </c>
      <c r="AH49" s="375">
        <f t="shared" si="85"/>
        <v>337.61812499999996</v>
      </c>
      <c r="AI49" s="375">
        <f t="shared" si="85"/>
        <v>5450.118125</v>
      </c>
      <c r="AJ49" s="376">
        <f t="shared" si="85"/>
        <v>-3027.618125</v>
      </c>
      <c r="AK49" s="376">
        <f t="shared" si="85"/>
        <v>126.15300503547348</v>
      </c>
      <c r="AL49" s="376">
        <f>SUM(AJ49,AL17)</f>
        <v>-3559.7711300354736</v>
      </c>
      <c r="AM49" s="383">
        <f>SUM(AM17:AM48)</f>
        <v>-2467.0286177872376</v>
      </c>
      <c r="AN49" s="98"/>
      <c r="AO49" s="376">
        <f t="shared" ref="AO49:BD49" si="86">SUM(AO18:AO48)</f>
        <v>1140</v>
      </c>
      <c r="AP49" s="376">
        <f t="shared" si="86"/>
        <v>0</v>
      </c>
      <c r="AQ49" s="376">
        <f t="shared" si="86"/>
        <v>1282.5</v>
      </c>
      <c r="AR49" s="376">
        <f t="shared" si="86"/>
        <v>379.05</v>
      </c>
      <c r="AS49" s="376">
        <f t="shared" si="86"/>
        <v>2801.5499999999997</v>
      </c>
      <c r="AT49" s="376">
        <f t="shared" si="86"/>
        <v>1425</v>
      </c>
      <c r="AU49" s="376">
        <f t="shared" si="86"/>
        <v>1597.1399999999996</v>
      </c>
      <c r="AV49" s="376">
        <f t="shared" si="86"/>
        <v>708.40853843235277</v>
      </c>
      <c r="AW49" s="376">
        <f t="shared" si="86"/>
        <v>950</v>
      </c>
      <c r="AX49" s="376">
        <f t="shared" si="86"/>
        <v>195</v>
      </c>
      <c r="AY49" s="376">
        <f t="shared" si="86"/>
        <v>622.64999999999975</v>
      </c>
      <c r="AZ49" s="376">
        <f t="shared" si="86"/>
        <v>1282.5</v>
      </c>
      <c r="BA49" s="376">
        <f t="shared" si="86"/>
        <v>337.61812499999996</v>
      </c>
      <c r="BB49" s="376">
        <f t="shared" si="86"/>
        <v>7118.3166634323525</v>
      </c>
      <c r="BC49" s="376">
        <f t="shared" si="86"/>
        <v>-4316.7666634323514</v>
      </c>
      <c r="BD49" s="376">
        <f t="shared" si="86"/>
        <v>-2355.9904336892532</v>
      </c>
      <c r="BH49" s="376">
        <f t="shared" ref="BH49:BV49" si="87">SUM(BH18:BH48)</f>
        <v>1425</v>
      </c>
      <c r="BI49" s="376">
        <f t="shared" si="87"/>
        <v>1597.1399999999996</v>
      </c>
      <c r="BJ49" s="376">
        <f t="shared" si="87"/>
        <v>708.40853843235277</v>
      </c>
      <c r="BK49" s="376">
        <f t="shared" si="87"/>
        <v>950</v>
      </c>
      <c r="BL49" s="376">
        <f t="shared" si="87"/>
        <v>622.64999999999975</v>
      </c>
      <c r="BM49" s="376">
        <f t="shared" si="87"/>
        <v>0</v>
      </c>
      <c r="BN49" s="376">
        <f t="shared" si="87"/>
        <v>5303.1985384323525</v>
      </c>
      <c r="BO49" s="376">
        <f t="shared" si="87"/>
        <v>2850</v>
      </c>
      <c r="BP49" s="376">
        <f t="shared" si="87"/>
        <v>950</v>
      </c>
      <c r="BQ49" s="376">
        <f t="shared" si="87"/>
        <v>452.49131831392066</v>
      </c>
      <c r="BR49" s="376">
        <f t="shared" si="87"/>
        <v>276</v>
      </c>
      <c r="BS49" s="376">
        <f t="shared" si="87"/>
        <v>30</v>
      </c>
      <c r="BT49" s="376">
        <f t="shared" si="87"/>
        <v>379.05</v>
      </c>
      <c r="BU49" s="376">
        <f t="shared" si="87"/>
        <v>4937.5413183139217</v>
      </c>
      <c r="BV49" s="376">
        <f t="shared" si="87"/>
        <v>365.65722011843206</v>
      </c>
      <c r="BY49" s="235"/>
      <c r="BZ49" s="235"/>
      <c r="CA49" s="235">
        <f t="shared" ref="CA49" si="88">SUM(CA18:CA47)</f>
        <v>379.05</v>
      </c>
      <c r="CB49" s="98"/>
      <c r="CC49" s="235">
        <f t="shared" ref="CC49" si="89">SUM(CC18:CC47)</f>
        <v>-2656.4827798815681</v>
      </c>
      <c r="CD49" s="235">
        <f>SUM(CD18:CD48)</f>
        <v>0</v>
      </c>
      <c r="CE49" s="235">
        <f>SUM(CE18:CE48)</f>
        <v>1425</v>
      </c>
      <c r="CF49" s="235">
        <f>SUM(CF18:CF48)</f>
        <v>-1425.0000000000002</v>
      </c>
      <c r="CG49" s="235">
        <f t="shared" ref="CG49:CJ49" si="90">SUM(CG18:CG48)</f>
        <v>19611.585631044589</v>
      </c>
      <c r="CH49" s="235">
        <f t="shared" si="90"/>
        <v>-47972.198097989</v>
      </c>
      <c r="CI49" s="235">
        <f t="shared" si="90"/>
        <v>-193.51722011843222</v>
      </c>
      <c r="CJ49" s="235">
        <f t="shared" si="90"/>
        <v>193.51722011843219</v>
      </c>
      <c r="CK49" s="21"/>
    </row>
    <row r="50" spans="1:89" ht="15.75" customHeight="1" x14ac:dyDescent="0.55000000000000004">
      <c r="A50" s="207"/>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Y50" s="21"/>
      <c r="BZ50" s="21"/>
      <c r="CA50" s="21"/>
      <c r="CB50" s="21"/>
      <c r="CC50" s="21"/>
      <c r="CD50" s="21"/>
      <c r="CE50" s="21"/>
      <c r="CF50" s="21"/>
      <c r="CH50" s="21"/>
      <c r="CK50" s="21"/>
    </row>
    <row r="51" spans="1:89" ht="15.75" customHeight="1" x14ac:dyDescent="0.55000000000000004">
      <c r="B51" s="223" t="s">
        <v>176</v>
      </c>
      <c r="C51" s="21"/>
      <c r="E51" s="22" t="s">
        <v>55</v>
      </c>
      <c r="F51" s="22" t="s">
        <v>98</v>
      </c>
      <c r="O51" s="377"/>
      <c r="P51" s="377"/>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H51" s="21"/>
      <c r="CK51" s="21"/>
    </row>
    <row r="52" spans="1:89" ht="15.75" customHeight="1" x14ac:dyDescent="0.45">
      <c r="A52" s="207"/>
      <c r="B52" s="223"/>
      <c r="C52" s="21" t="s">
        <v>177</v>
      </c>
      <c r="D52" s="191" t="s">
        <v>21</v>
      </c>
      <c r="E52" s="150"/>
      <c r="F52" s="412">
        <v>25</v>
      </c>
      <c r="K52" s="21"/>
      <c r="N52" s="19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Y52" s="21"/>
      <c r="BZ52" s="21"/>
      <c r="CA52" s="21"/>
      <c r="CB52" s="21"/>
      <c r="CC52" s="21"/>
      <c r="CD52" s="21"/>
      <c r="CE52" s="21"/>
      <c r="CF52" s="21"/>
      <c r="CH52" s="21"/>
      <c r="CK52" s="21"/>
    </row>
    <row r="53" spans="1:89" ht="15.75" customHeight="1" x14ac:dyDescent="0.45">
      <c r="A53" s="207"/>
      <c r="B53" s="223"/>
      <c r="C53" s="21" t="s">
        <v>178</v>
      </c>
      <c r="D53" s="276" t="s">
        <v>21</v>
      </c>
      <c r="E53" s="150">
        <v>10</v>
      </c>
      <c r="F53" s="150">
        <v>6</v>
      </c>
      <c r="K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Y53" s="105"/>
      <c r="BZ53" s="105"/>
      <c r="CA53" s="105"/>
      <c r="CB53" s="21"/>
      <c r="CC53" s="105"/>
      <c r="CD53" s="105"/>
      <c r="CE53" s="105"/>
      <c r="CF53" s="105"/>
      <c r="CH53" s="21"/>
      <c r="CK53" s="21"/>
    </row>
    <row r="54" spans="1:89" ht="15.75" customHeight="1" x14ac:dyDescent="0.55000000000000004">
      <c r="B54" s="223"/>
      <c r="C54" s="21"/>
      <c r="K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Y54" s="105"/>
      <c r="BZ54" s="105"/>
      <c r="CA54" s="105"/>
      <c r="CB54" s="21"/>
      <c r="CC54" s="105"/>
      <c r="CD54" s="105"/>
      <c r="CE54" s="105"/>
      <c r="CF54" s="105"/>
      <c r="CH54" s="21"/>
      <c r="CK54" s="21"/>
    </row>
    <row r="55" spans="1:89" ht="15.75" customHeight="1" x14ac:dyDescent="0.45">
      <c r="B55" s="223" t="s">
        <v>179</v>
      </c>
      <c r="C55" s="21"/>
      <c r="D55" s="276" t="s">
        <v>269</v>
      </c>
      <c r="F55" s="150">
        <v>1</v>
      </c>
      <c r="G55" s="119" t="s">
        <v>305</v>
      </c>
      <c r="H55" s="21" t="s">
        <v>293</v>
      </c>
      <c r="J55" s="223" t="s">
        <v>179</v>
      </c>
      <c r="K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Y55" s="105"/>
      <c r="BZ55" s="105"/>
      <c r="CA55" s="105"/>
      <c r="CB55" s="21"/>
      <c r="CC55" s="105"/>
      <c r="CD55" s="105"/>
      <c r="CE55" s="105"/>
      <c r="CF55" s="105"/>
      <c r="CH55" s="21"/>
      <c r="CK55" s="21"/>
    </row>
    <row r="56" spans="1:89" ht="15.75" customHeight="1" x14ac:dyDescent="0.45">
      <c r="G56" s="119">
        <v>1</v>
      </c>
      <c r="H56" s="21" t="s">
        <v>294</v>
      </c>
      <c r="M56" s="21" t="s">
        <v>181</v>
      </c>
      <c r="N56" s="393" t="s">
        <v>21</v>
      </c>
      <c r="O56" s="169"/>
      <c r="P56" s="299">
        <f>F138</f>
        <v>30</v>
      </c>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Y56" s="105"/>
      <c r="BZ56" s="105"/>
      <c r="CA56" s="105"/>
      <c r="CB56" s="21"/>
      <c r="CC56" s="105"/>
      <c r="CD56" s="105"/>
      <c r="CE56" s="105"/>
      <c r="CF56" s="105"/>
      <c r="CH56" s="21"/>
      <c r="CK56" s="21"/>
    </row>
    <row r="57" spans="1:89" ht="15.75" customHeight="1" x14ac:dyDescent="0.45">
      <c r="M57" s="21" t="s">
        <v>182</v>
      </c>
      <c r="N57" s="393" t="s">
        <v>21</v>
      </c>
      <c r="O57" s="170"/>
      <c r="P57" s="300">
        <f>F139*$F$18</f>
        <v>36</v>
      </c>
      <c r="Q57" s="21" t="s">
        <v>184</v>
      </c>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Y57" s="105"/>
      <c r="BZ57" s="105"/>
      <c r="CA57" s="105"/>
      <c r="CB57" s="21"/>
      <c r="CC57" s="105"/>
      <c r="CD57" s="105"/>
      <c r="CE57" s="105"/>
      <c r="CF57" s="105"/>
      <c r="CH57" s="21"/>
    </row>
    <row r="58" spans="1:89" ht="15.75" customHeight="1" thickBot="1" x14ac:dyDescent="0.5">
      <c r="C58" s="21"/>
      <c r="I58" s="295"/>
      <c r="M58" s="21" t="s">
        <v>183</v>
      </c>
      <c r="N58" s="393" t="s">
        <v>21</v>
      </c>
      <c r="O58" s="170"/>
      <c r="P58" s="300">
        <f>SUM(P102,P104)+P106*F18</f>
        <v>106.14</v>
      </c>
      <c r="Q58" s="21" t="s">
        <v>186</v>
      </c>
      <c r="AL58" s="21"/>
      <c r="BY58" s="21"/>
      <c r="BZ58" s="21"/>
      <c r="CA58" s="21"/>
      <c r="CC58" s="21"/>
      <c r="CD58" s="21"/>
      <c r="CE58" s="21"/>
      <c r="CF58" s="21"/>
      <c r="CH58" s="21"/>
    </row>
    <row r="59" spans="1:89" ht="15.75" customHeight="1" thickBot="1" x14ac:dyDescent="0.5">
      <c r="C59" s="21"/>
      <c r="K59" s="378" t="s">
        <v>185</v>
      </c>
      <c r="L59" s="134"/>
      <c r="M59" s="134"/>
      <c r="N59" s="397" t="s">
        <v>21</v>
      </c>
      <c r="O59" s="171"/>
      <c r="P59" s="426">
        <f>SUM(P56:P58)*$F$55</f>
        <v>172.14</v>
      </c>
      <c r="AL59" s="21"/>
      <c r="AT59" s="379"/>
      <c r="AU59" s="379"/>
      <c r="AV59" s="379"/>
      <c r="AW59" s="379"/>
      <c r="AX59" s="379"/>
      <c r="AY59" s="379"/>
      <c r="AZ59" s="379"/>
      <c r="BA59" s="379"/>
      <c r="BB59" s="379"/>
      <c r="BH59" s="379"/>
      <c r="BI59" s="379"/>
      <c r="BJ59" s="379"/>
      <c r="BK59" s="379"/>
      <c r="BL59" s="379"/>
      <c r="BM59" s="379"/>
      <c r="BN59" s="379"/>
      <c r="BO59" s="379"/>
      <c r="BP59" s="379"/>
      <c r="BQ59" s="379"/>
      <c r="BR59" s="379"/>
      <c r="BS59" s="379"/>
      <c r="BT59" s="379"/>
      <c r="BU59" s="379"/>
      <c r="BY59" s="21"/>
      <c r="BZ59" s="21"/>
      <c r="CA59" s="21"/>
      <c r="CC59" s="21"/>
      <c r="CD59" s="21"/>
      <c r="CE59" s="21"/>
      <c r="CF59" s="21"/>
      <c r="CH59" s="21"/>
    </row>
    <row r="60" spans="1:89" ht="15.75" customHeight="1" x14ac:dyDescent="0.45">
      <c r="C60" s="21"/>
      <c r="M60" s="21" t="s">
        <v>187</v>
      </c>
      <c r="N60" s="393" t="s">
        <v>21</v>
      </c>
      <c r="O60" s="172"/>
      <c r="P60" s="427">
        <f>F139</f>
        <v>12</v>
      </c>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Y60" s="21"/>
      <c r="BZ60" s="21"/>
      <c r="CA60" s="21"/>
      <c r="CC60" s="21"/>
      <c r="CD60" s="21"/>
      <c r="CE60" s="21"/>
      <c r="CF60" s="21"/>
      <c r="CH60" s="21"/>
    </row>
    <row r="61" spans="1:89" ht="15.75" customHeight="1" thickBot="1" x14ac:dyDescent="0.5">
      <c r="C61" s="21"/>
      <c r="M61" s="21" t="s">
        <v>188</v>
      </c>
      <c r="N61" s="393" t="s">
        <v>21</v>
      </c>
      <c r="O61" s="172"/>
      <c r="P61" s="428">
        <f>P108</f>
        <v>0.18</v>
      </c>
      <c r="Q61" s="21" t="s">
        <v>190</v>
      </c>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Y61" s="21"/>
      <c r="BZ61" s="21"/>
      <c r="CA61" s="21"/>
      <c r="CC61" s="21"/>
      <c r="CD61" s="21"/>
      <c r="CE61" s="21"/>
      <c r="CF61" s="21"/>
    </row>
    <row r="62" spans="1:89" ht="15.75" customHeight="1" thickBot="1" x14ac:dyDescent="0.5">
      <c r="K62" s="378" t="s">
        <v>189</v>
      </c>
      <c r="L62" s="134"/>
      <c r="M62" s="134"/>
      <c r="N62" s="397" t="s">
        <v>21</v>
      </c>
      <c r="O62" s="171"/>
      <c r="P62" s="426">
        <f>SUM(P60:P61)*$F$55</f>
        <v>12.18</v>
      </c>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row>
    <row r="63" spans="1:89" ht="15.75" customHeight="1" x14ac:dyDescent="0.55000000000000004">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row>
    <row r="64" spans="1:89" ht="15.75" customHeight="1" x14ac:dyDescent="0.55000000000000004">
      <c r="B64" s="226" t="s">
        <v>270</v>
      </c>
      <c r="C64" s="21"/>
      <c r="J64" s="223" t="s">
        <v>192</v>
      </c>
      <c r="K64" s="21"/>
      <c r="N64" s="19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row>
    <row r="65" spans="1:75" ht="15.75" customHeight="1" x14ac:dyDescent="0.45">
      <c r="C65" s="119" t="s">
        <v>193</v>
      </c>
      <c r="D65" s="276" t="s">
        <v>25</v>
      </c>
      <c r="F65" s="315">
        <v>0.95</v>
      </c>
      <c r="J65" s="223"/>
      <c r="K65" s="21" t="s">
        <v>59</v>
      </c>
      <c r="N65" s="191" t="s">
        <v>21</v>
      </c>
      <c r="O65" s="91">
        <f>O35/$F$65</f>
        <v>3000</v>
      </c>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row>
    <row r="66" spans="1:75" ht="15.75" customHeight="1" x14ac:dyDescent="0.45">
      <c r="B66" s="119"/>
      <c r="C66" s="119" t="s">
        <v>194</v>
      </c>
      <c r="D66" s="276" t="s">
        <v>25</v>
      </c>
      <c r="F66" s="386">
        <f>事業費用概算!I31</f>
        <v>0.05</v>
      </c>
      <c r="J66" s="223"/>
      <c r="K66" s="21" t="s">
        <v>195</v>
      </c>
      <c r="N66" s="191" t="s">
        <v>21</v>
      </c>
      <c r="O66" s="321">
        <f>O46/$F$65*$F$19</f>
        <v>1000</v>
      </c>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row>
    <row r="67" spans="1:75" ht="15.75" customHeight="1" x14ac:dyDescent="0.45">
      <c r="B67" s="119"/>
      <c r="C67" s="119" t="s">
        <v>196</v>
      </c>
      <c r="D67" s="276" t="s">
        <v>25</v>
      </c>
      <c r="F67" s="386">
        <f>事業費用概算!I32</f>
        <v>0.05</v>
      </c>
      <c r="J67" s="223"/>
      <c r="K67" s="241" t="s">
        <v>197</v>
      </c>
      <c r="L67" s="241"/>
      <c r="M67" s="241"/>
      <c r="N67" s="241" t="s">
        <v>21</v>
      </c>
      <c r="O67" s="322">
        <f>SUM(O65:O66)</f>
        <v>4000</v>
      </c>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row>
    <row r="68" spans="1:75" ht="15.75" customHeight="1" x14ac:dyDescent="0.45">
      <c r="B68" s="119"/>
      <c r="F68" s="435"/>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row>
    <row r="69" spans="1:75" ht="15.75" customHeight="1" thickBot="1" x14ac:dyDescent="0.6">
      <c r="A69" s="210" t="s">
        <v>31</v>
      </c>
      <c r="B69" s="225"/>
      <c r="C69" s="202"/>
      <c r="D69" s="404"/>
      <c r="E69" s="202"/>
      <c r="F69" s="202"/>
      <c r="G69" s="202"/>
      <c r="H69" s="202"/>
      <c r="I69" s="217" t="s">
        <v>31</v>
      </c>
      <c r="J69" s="225"/>
      <c r="K69" s="202"/>
      <c r="L69" s="202"/>
      <c r="M69" s="202"/>
      <c r="N69" s="203"/>
      <c r="O69" s="202"/>
      <c r="P69" s="202"/>
      <c r="Q69" s="202"/>
      <c r="R69" s="202"/>
      <c r="S69" s="202"/>
      <c r="T69" s="203"/>
      <c r="U69" s="202"/>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row>
    <row r="70" spans="1:75" ht="15.75" customHeight="1" x14ac:dyDescent="0.55000000000000004">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row>
    <row r="71" spans="1:75" ht="15.75" customHeight="1" x14ac:dyDescent="0.55000000000000004">
      <c r="B71" s="228" t="s">
        <v>198</v>
      </c>
      <c r="C71" s="25"/>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row>
    <row r="72" spans="1:75" ht="15.75" customHeight="1" x14ac:dyDescent="0.45">
      <c r="C72" s="119" t="s">
        <v>295</v>
      </c>
      <c r="D72" s="400" t="s">
        <v>21</v>
      </c>
      <c r="F72" s="150">
        <v>0</v>
      </c>
    </row>
    <row r="73" spans="1:75" ht="15.75" customHeight="1" x14ac:dyDescent="0.55000000000000004"/>
    <row r="74" spans="1:75" ht="15.75" customHeight="1" thickBot="1" x14ac:dyDescent="0.6">
      <c r="A74" s="210" t="s">
        <v>35</v>
      </c>
      <c r="B74" s="225"/>
      <c r="C74" s="202"/>
      <c r="D74" s="404"/>
      <c r="E74" s="202"/>
      <c r="F74" s="202"/>
      <c r="G74" s="202"/>
      <c r="H74" s="202"/>
      <c r="I74" s="217" t="s">
        <v>35</v>
      </c>
      <c r="J74" s="225"/>
      <c r="K74" s="202"/>
      <c r="L74" s="202"/>
      <c r="M74" s="202"/>
      <c r="N74" s="203"/>
      <c r="O74" s="202"/>
      <c r="P74" s="202"/>
      <c r="Q74" s="202"/>
      <c r="R74" s="202"/>
      <c r="S74" s="202"/>
      <c r="T74" s="203"/>
      <c r="U74" s="202"/>
    </row>
    <row r="75" spans="1:75" ht="15.75" customHeight="1" x14ac:dyDescent="0.55000000000000004">
      <c r="A75" s="35"/>
      <c r="J75" s="35"/>
      <c r="V75" s="22"/>
    </row>
    <row r="76" spans="1:75" ht="15.75" customHeight="1" x14ac:dyDescent="0.55000000000000004">
      <c r="B76" s="223" t="s">
        <v>199</v>
      </c>
      <c r="C76" s="25"/>
      <c r="D76" s="406"/>
      <c r="E76" s="25" t="s">
        <v>18</v>
      </c>
      <c r="F76" s="25" t="s">
        <v>200</v>
      </c>
      <c r="I76" s="214"/>
      <c r="J76" s="223" t="s">
        <v>199</v>
      </c>
      <c r="O76" s="21" t="s">
        <v>55</v>
      </c>
      <c r="P76" s="21" t="s">
        <v>98</v>
      </c>
    </row>
    <row r="77" spans="1:75" ht="15.75" customHeight="1" x14ac:dyDescent="0.45">
      <c r="C77" s="119" t="s">
        <v>201</v>
      </c>
      <c r="D77" s="276" t="s">
        <v>21</v>
      </c>
      <c r="E77" s="374">
        <f>O79</f>
        <v>1282.5</v>
      </c>
      <c r="F77" s="374">
        <f>P79</f>
        <v>1282.5</v>
      </c>
      <c r="J77" s="35"/>
      <c r="K77" s="119" t="s">
        <v>202</v>
      </c>
      <c r="N77" s="393" t="s">
        <v>21</v>
      </c>
      <c r="O77" s="168">
        <f>O32</f>
        <v>2850</v>
      </c>
      <c r="P77" s="168">
        <f>P32</f>
        <v>2850</v>
      </c>
      <c r="V77" s="22"/>
    </row>
    <row r="78" spans="1:75" ht="15.75" customHeight="1" x14ac:dyDescent="0.45">
      <c r="C78" s="119" t="s">
        <v>203</v>
      </c>
      <c r="D78" s="276" t="s">
        <v>25</v>
      </c>
      <c r="F78" s="163">
        <v>0.4</v>
      </c>
      <c r="K78" s="119" t="s">
        <v>110</v>
      </c>
      <c r="N78" s="393" t="s">
        <v>21</v>
      </c>
      <c r="O78" s="168">
        <f>O77*$F$78</f>
        <v>1140</v>
      </c>
      <c r="P78" s="168">
        <f t="shared" ref="P78" si="91">P77*$F$78</f>
        <v>1140</v>
      </c>
      <c r="V78" s="22"/>
    </row>
    <row r="79" spans="1:75" ht="15.75" customHeight="1" x14ac:dyDescent="0.45">
      <c r="C79" s="119" t="s">
        <v>204</v>
      </c>
      <c r="D79" s="276" t="s">
        <v>25</v>
      </c>
      <c r="F79" s="157">
        <v>0</v>
      </c>
      <c r="K79" s="119" t="s">
        <v>205</v>
      </c>
      <c r="N79" s="393" t="s">
        <v>21</v>
      </c>
      <c r="O79" s="168">
        <f>(O77-O78)*$F$80</f>
        <v>1282.5</v>
      </c>
      <c r="P79" s="168">
        <f t="shared" ref="P79" si="92">(P77-P78)*$F$80</f>
        <v>1282.5</v>
      </c>
      <c r="V79" s="22"/>
    </row>
    <row r="80" spans="1:75" x14ac:dyDescent="0.45">
      <c r="C80" s="119" t="s">
        <v>206</v>
      </c>
      <c r="D80" s="276" t="s">
        <v>25</v>
      </c>
      <c r="F80" s="157">
        <v>0.75</v>
      </c>
      <c r="J80" s="35"/>
      <c r="K80" s="119" t="s">
        <v>207</v>
      </c>
      <c r="N80" s="393" t="s">
        <v>21</v>
      </c>
      <c r="O80" s="168">
        <f>O79*$F$79</f>
        <v>0</v>
      </c>
      <c r="P80" s="168">
        <f>P79*$F$79</f>
        <v>0</v>
      </c>
      <c r="V80" s="22"/>
    </row>
    <row r="81" spans="1:105" ht="15.75" customHeight="1" x14ac:dyDescent="0.45">
      <c r="C81" s="119" t="s">
        <v>208</v>
      </c>
      <c r="D81" s="276" t="s">
        <v>14</v>
      </c>
      <c r="F81" s="150">
        <v>20</v>
      </c>
      <c r="K81" s="252" t="s">
        <v>209</v>
      </c>
      <c r="L81" s="250"/>
      <c r="M81" s="250"/>
      <c r="N81" s="191" t="s">
        <v>21</v>
      </c>
      <c r="O81" s="168">
        <f>O77-SUM(O78:O80)</f>
        <v>427.5</v>
      </c>
      <c r="P81" s="168">
        <f>P77-SUM(P78:P80)</f>
        <v>427.5</v>
      </c>
      <c r="V81" s="22"/>
    </row>
    <row r="82" spans="1:105" ht="15.75" customHeight="1" x14ac:dyDescent="0.45">
      <c r="C82" s="21" t="s">
        <v>210</v>
      </c>
      <c r="D82" s="191" t="s">
        <v>211</v>
      </c>
      <c r="F82" s="150">
        <v>3</v>
      </c>
      <c r="K82" s="119" t="s">
        <v>212</v>
      </c>
      <c r="N82" s="393" t="s">
        <v>21</v>
      </c>
      <c r="O82" s="168">
        <f>O79/$F$81</f>
        <v>64.125</v>
      </c>
      <c r="P82" s="168">
        <f>P79/$F$81</f>
        <v>64.125</v>
      </c>
      <c r="V82" s="22"/>
      <c r="BX82" s="21"/>
      <c r="BY82" s="21"/>
      <c r="BZ82" s="21"/>
      <c r="CA82" s="21"/>
      <c r="CK82" s="21"/>
    </row>
    <row r="83" spans="1:105" ht="15.75" customHeight="1" x14ac:dyDescent="0.45">
      <c r="C83" s="119" t="s">
        <v>213</v>
      </c>
      <c r="D83" s="276" t="s">
        <v>25</v>
      </c>
      <c r="F83" s="153">
        <v>1.95E-2</v>
      </c>
      <c r="K83" s="21" t="s">
        <v>214</v>
      </c>
      <c r="N83" s="191" t="s">
        <v>215</v>
      </c>
      <c r="O83" s="168">
        <f>$F82+$F$18</f>
        <v>6</v>
      </c>
      <c r="P83" s="168">
        <f>$F82+$F$18</f>
        <v>6</v>
      </c>
      <c r="V83" s="22"/>
    </row>
    <row r="84" spans="1:105" ht="15.75" customHeight="1" x14ac:dyDescent="0.55000000000000004">
      <c r="K84" s="21"/>
      <c r="V84" s="22"/>
    </row>
    <row r="85" spans="1:105" ht="15.75" customHeight="1" x14ac:dyDescent="0.55000000000000004">
      <c r="B85" s="223" t="s">
        <v>302</v>
      </c>
      <c r="C85" s="25"/>
      <c r="D85" s="406"/>
      <c r="E85" s="25"/>
      <c r="F85" s="21" t="s">
        <v>98</v>
      </c>
      <c r="I85" s="214"/>
      <c r="J85" s="223" t="s">
        <v>302</v>
      </c>
      <c r="P85" s="21" t="s">
        <v>98</v>
      </c>
      <c r="V85" s="22"/>
    </row>
    <row r="86" spans="1:105" ht="15.75" customHeight="1" x14ac:dyDescent="0.55000000000000004">
      <c r="C86" s="119" t="s">
        <v>201</v>
      </c>
      <c r="D86" s="276" t="s">
        <v>21</v>
      </c>
      <c r="E86" s="25"/>
      <c r="F86" s="374">
        <f>P34</f>
        <v>1425</v>
      </c>
      <c r="K86" s="119" t="s">
        <v>217</v>
      </c>
      <c r="N86" s="393" t="s">
        <v>49</v>
      </c>
      <c r="O86" s="22"/>
      <c r="P86" s="136">
        <f>SUM(F87:F88)</f>
        <v>2.7833999999999998E-2</v>
      </c>
    </row>
    <row r="87" spans="1:105" ht="15.75" customHeight="1" x14ac:dyDescent="0.45">
      <c r="C87" s="119" t="s">
        <v>164</v>
      </c>
      <c r="D87" s="276" t="s">
        <v>25</v>
      </c>
      <c r="F87" s="153">
        <v>1.7833999999999999E-2</v>
      </c>
    </row>
    <row r="88" spans="1:105" ht="15.75" customHeight="1" x14ac:dyDescent="0.45">
      <c r="C88" s="119" t="s">
        <v>218</v>
      </c>
      <c r="D88" s="276" t="s">
        <v>25</v>
      </c>
      <c r="F88" s="164">
        <v>0.01</v>
      </c>
    </row>
    <row r="89" spans="1:105" ht="15.75" customHeight="1" x14ac:dyDescent="0.45">
      <c r="C89" s="21" t="s">
        <v>303</v>
      </c>
      <c r="D89" s="191" t="s">
        <v>21</v>
      </c>
      <c r="F89" s="150">
        <v>66</v>
      </c>
    </row>
    <row r="90" spans="1:105" ht="15.75" customHeight="1" x14ac:dyDescent="0.45">
      <c r="C90" s="21" t="s">
        <v>304</v>
      </c>
      <c r="D90" s="276" t="s">
        <v>269</v>
      </c>
      <c r="F90" s="150">
        <v>1</v>
      </c>
      <c r="G90" s="21">
        <v>0</v>
      </c>
      <c r="H90" s="21" t="s">
        <v>306</v>
      </c>
      <c r="K90" s="21"/>
      <c r="N90" s="191"/>
      <c r="T90" s="191"/>
      <c r="V90" s="289"/>
      <c r="Y90" s="23"/>
      <c r="Z90" s="23"/>
      <c r="AA90" s="24"/>
      <c r="AB90" s="24"/>
      <c r="AC90" s="24"/>
      <c r="AD90" s="24"/>
      <c r="AE90" s="24"/>
      <c r="AF90" s="24"/>
      <c r="AG90" s="24"/>
      <c r="AH90" s="24"/>
      <c r="AI90" s="24"/>
      <c r="AJ90" s="24"/>
      <c r="AK90" s="25"/>
      <c r="AL90" s="25"/>
      <c r="AM90" s="25"/>
      <c r="AO90" s="25"/>
      <c r="AP90" s="24"/>
      <c r="AQ90" s="24"/>
      <c r="AR90" s="24"/>
      <c r="AS90" s="24"/>
      <c r="AT90" s="24"/>
      <c r="AU90" s="24"/>
      <c r="AV90" s="24"/>
      <c r="AW90" s="24"/>
      <c r="AX90" s="24"/>
      <c r="AY90" s="24"/>
      <c r="AZ90" s="24"/>
      <c r="BA90" s="24"/>
      <c r="BB90" s="24"/>
      <c r="BC90" s="24"/>
      <c r="BD90" s="24"/>
      <c r="BH90" s="24"/>
      <c r="BI90" s="24"/>
      <c r="BJ90" s="24"/>
      <c r="BK90" s="24"/>
      <c r="BL90" s="24"/>
      <c r="BM90" s="24"/>
      <c r="BN90" s="24"/>
      <c r="BO90" s="24"/>
      <c r="BP90" s="24"/>
      <c r="BQ90" s="24"/>
      <c r="BR90" s="24"/>
      <c r="BS90" s="24"/>
      <c r="BT90" s="24"/>
      <c r="BU90" s="24"/>
      <c r="BV90" s="24"/>
      <c r="BZ90" s="22"/>
      <c r="CA90" s="22"/>
      <c r="CC90" s="22"/>
      <c r="CE90" s="21"/>
      <c r="CF90" s="21"/>
      <c r="CK90" s="21"/>
    </row>
    <row r="91" spans="1:105" ht="15.75" customHeight="1" x14ac:dyDescent="0.55000000000000004">
      <c r="C91" s="21"/>
      <c r="G91" s="21">
        <v>1</v>
      </c>
      <c r="H91" s="21" t="s">
        <v>307</v>
      </c>
      <c r="J91" s="35"/>
      <c r="O91" s="22"/>
      <c r="P91" s="22"/>
      <c r="R91" s="35"/>
      <c r="S91" s="35"/>
      <c r="T91" s="35"/>
    </row>
    <row r="92" spans="1:105" ht="15.75" customHeight="1" thickBot="1" x14ac:dyDescent="0.6">
      <c r="A92" s="210" t="s">
        <v>43</v>
      </c>
      <c r="B92" s="225"/>
      <c r="C92" s="202"/>
      <c r="D92" s="404"/>
      <c r="E92" s="202"/>
      <c r="F92" s="202"/>
      <c r="G92" s="202"/>
      <c r="H92" s="202"/>
      <c r="I92" s="217" t="s">
        <v>43</v>
      </c>
      <c r="J92" s="225"/>
      <c r="K92" s="202"/>
      <c r="L92" s="202"/>
      <c r="M92" s="202"/>
      <c r="N92" s="203"/>
      <c r="O92" s="202"/>
      <c r="P92" s="202"/>
      <c r="Q92" s="202"/>
      <c r="R92" s="202"/>
      <c r="S92" s="202"/>
      <c r="T92" s="202"/>
      <c r="U92" s="202"/>
      <c r="V92" s="289"/>
      <c r="Y92" s="23"/>
      <c r="Z92" s="23"/>
      <c r="AA92" s="24"/>
      <c r="AB92" s="24"/>
      <c r="AC92" s="24"/>
      <c r="AD92" s="24"/>
      <c r="AE92" s="24"/>
      <c r="AF92" s="24"/>
      <c r="AG92" s="24"/>
      <c r="AH92" s="24"/>
      <c r="AI92" s="24"/>
      <c r="AJ92" s="24"/>
      <c r="AK92" s="24"/>
      <c r="AL92" s="24"/>
      <c r="AM92" s="25"/>
      <c r="AN92" s="25"/>
      <c r="AP92" s="25"/>
      <c r="AQ92" s="24"/>
      <c r="AR92" s="24"/>
      <c r="AS92" s="24"/>
      <c r="AT92" s="24"/>
      <c r="AU92" s="24"/>
      <c r="AV92" s="24"/>
      <c r="AW92" s="24"/>
      <c r="AX92" s="24"/>
      <c r="AY92" s="24"/>
      <c r="AZ92" s="24"/>
      <c r="BA92" s="24"/>
      <c r="BB92" s="24"/>
      <c r="BC92" s="24"/>
      <c r="BD92" s="24"/>
      <c r="BE92" s="24"/>
      <c r="BF92" s="24"/>
      <c r="BH92" s="26"/>
      <c r="BJ92" s="24"/>
      <c r="BK92" s="24"/>
      <c r="BL92" s="24"/>
      <c r="BM92" s="24"/>
      <c r="BN92" s="24"/>
      <c r="BO92" s="24"/>
      <c r="BP92" s="24"/>
      <c r="BQ92" s="24"/>
      <c r="BR92" s="24"/>
      <c r="BS92" s="24"/>
      <c r="BT92" s="24"/>
      <c r="BU92" s="24"/>
      <c r="BV92" s="24"/>
      <c r="BW92" s="24"/>
      <c r="BX92" s="24"/>
      <c r="CK92" s="24"/>
      <c r="CL92" s="24"/>
      <c r="CM92" s="24"/>
      <c r="CN92" s="22"/>
      <c r="CO92" s="24"/>
      <c r="CP92" s="24"/>
      <c r="CQ92" s="24"/>
      <c r="CR92" s="24"/>
      <c r="CS92" s="24"/>
      <c r="CT92" s="22"/>
      <c r="CU92" s="24"/>
      <c r="CV92" s="24"/>
      <c r="CW92" s="22"/>
      <c r="CX92" s="22"/>
      <c r="CY92" s="22"/>
      <c r="CZ92" s="22"/>
      <c r="DA92" s="22"/>
    </row>
    <row r="93" spans="1:105" ht="15.75" customHeight="1" x14ac:dyDescent="0.55000000000000004">
      <c r="A93" s="35"/>
      <c r="O93" s="22"/>
      <c r="CB93" s="24"/>
    </row>
    <row r="94" spans="1:105" ht="15.75" customHeight="1" x14ac:dyDescent="0.55000000000000004">
      <c r="A94" s="207"/>
      <c r="B94" s="223" t="s">
        <v>220</v>
      </c>
      <c r="C94" s="25"/>
      <c r="D94" s="400"/>
      <c r="I94" s="214"/>
      <c r="J94" s="223" t="s">
        <v>220</v>
      </c>
      <c r="K94" s="21"/>
      <c r="V94" s="289"/>
      <c r="Y94" s="23"/>
      <c r="Z94" s="23"/>
      <c r="AA94" s="24"/>
      <c r="AB94" s="24"/>
      <c r="AC94" s="24"/>
      <c r="AD94" s="24"/>
      <c r="AE94" s="24"/>
      <c r="AF94" s="24"/>
      <c r="AG94" s="24"/>
      <c r="AH94" s="24"/>
      <c r="AI94" s="24"/>
      <c r="AJ94" s="24"/>
      <c r="AK94" s="24"/>
      <c r="AL94" s="24"/>
      <c r="AM94" s="25"/>
      <c r="AN94" s="25"/>
      <c r="AP94" s="25"/>
      <c r="AQ94" s="24"/>
      <c r="AR94" s="24"/>
      <c r="AS94" s="24"/>
      <c r="AT94" s="24"/>
      <c r="AU94" s="24"/>
      <c r="AV94" s="24"/>
      <c r="AW94" s="24"/>
      <c r="AX94" s="24"/>
      <c r="AY94" s="24"/>
      <c r="AZ94" s="24"/>
      <c r="BA94" s="24"/>
      <c r="BB94" s="24"/>
      <c r="BC94" s="24"/>
      <c r="BD94" s="24"/>
      <c r="BE94" s="24"/>
      <c r="BF94" s="24"/>
      <c r="BH94" s="26"/>
      <c r="BJ94" s="24"/>
      <c r="BK94" s="24"/>
      <c r="BL94" s="24"/>
      <c r="BM94" s="24"/>
      <c r="BN94" s="24"/>
      <c r="BO94" s="24"/>
      <c r="BP94" s="24"/>
      <c r="BQ94" s="24"/>
      <c r="BR94" s="24"/>
      <c r="BS94" s="24"/>
      <c r="BT94" s="24"/>
      <c r="BU94" s="24"/>
      <c r="BV94" s="24"/>
      <c r="BW94" s="24"/>
      <c r="BX94" s="24"/>
      <c r="CK94" s="24"/>
      <c r="CL94" s="24"/>
      <c r="CM94" s="24"/>
      <c r="CN94" s="22"/>
      <c r="CO94" s="24"/>
      <c r="CP94" s="24"/>
      <c r="CQ94" s="24"/>
      <c r="CR94" s="24"/>
      <c r="CS94" s="24"/>
      <c r="CT94" s="22"/>
      <c r="CU94" s="24"/>
      <c r="CV94" s="24"/>
      <c r="CW94" s="22"/>
      <c r="CX94" s="22"/>
      <c r="CY94" s="22"/>
      <c r="CZ94" s="22"/>
      <c r="DA94" s="22"/>
    </row>
    <row r="95" spans="1:105" ht="15.75" customHeight="1" x14ac:dyDescent="0.55000000000000004">
      <c r="C95" s="119" t="s">
        <v>219</v>
      </c>
      <c r="K95" s="21" t="s">
        <v>222</v>
      </c>
      <c r="N95" s="393" t="s">
        <v>21</v>
      </c>
      <c r="P95" s="91">
        <f>F96</f>
        <v>0</v>
      </c>
      <c r="CB95" s="24"/>
    </row>
    <row r="96" spans="1:105" ht="15.75" customHeight="1" x14ac:dyDescent="0.45">
      <c r="C96" s="119" t="s">
        <v>221</v>
      </c>
      <c r="D96" s="276" t="s">
        <v>21</v>
      </c>
      <c r="F96" s="327">
        <v>0</v>
      </c>
      <c r="K96" s="21" t="s">
        <v>224</v>
      </c>
      <c r="N96" s="393" t="s">
        <v>25</v>
      </c>
      <c r="P96" s="389">
        <f>F97</f>
        <v>0.2235</v>
      </c>
    </row>
    <row r="97" spans="1:105" ht="15.75" customHeight="1" x14ac:dyDescent="0.45">
      <c r="C97" s="21" t="s">
        <v>395</v>
      </c>
      <c r="D97" s="276" t="s">
        <v>25</v>
      </c>
      <c r="F97" s="179">
        <f>ROUND(23.2%/(1+(1.18%+1%*260%)),4)</f>
        <v>0.2235</v>
      </c>
      <c r="H97" s="21" t="s">
        <v>223</v>
      </c>
      <c r="K97" s="241" t="s">
        <v>226</v>
      </c>
      <c r="L97" s="241"/>
      <c r="M97" s="241"/>
      <c r="N97" s="398" t="s">
        <v>21</v>
      </c>
      <c r="O97" s="390"/>
      <c r="P97" s="284">
        <f>P95*P96</f>
        <v>0</v>
      </c>
    </row>
    <row r="98" spans="1:105" ht="15.75" customHeight="1" x14ac:dyDescent="0.55000000000000004">
      <c r="C98" s="119" t="s">
        <v>225</v>
      </c>
      <c r="K98" s="21"/>
      <c r="P98" s="92"/>
    </row>
    <row r="99" spans="1:105" ht="15.75" customHeight="1" x14ac:dyDescent="0.45">
      <c r="C99" s="119" t="s">
        <v>226</v>
      </c>
      <c r="D99" s="276" t="s">
        <v>21</v>
      </c>
      <c r="F99" s="165">
        <v>0.18</v>
      </c>
      <c r="H99" s="21" t="s">
        <v>227</v>
      </c>
      <c r="K99" s="21" t="s">
        <v>225</v>
      </c>
      <c r="N99" s="393" t="s">
        <v>21</v>
      </c>
      <c r="P99" s="380">
        <f>F99</f>
        <v>0.18</v>
      </c>
    </row>
    <row r="100" spans="1:105" ht="15.75" customHeight="1" x14ac:dyDescent="0.55000000000000004">
      <c r="P100" s="92"/>
      <c r="W100" s="138"/>
    </row>
    <row r="101" spans="1:105" ht="15.75" customHeight="1" x14ac:dyDescent="0.55000000000000004">
      <c r="A101" s="207"/>
      <c r="B101" s="223" t="s">
        <v>228</v>
      </c>
      <c r="C101" s="250"/>
      <c r="D101" s="400"/>
      <c r="I101" s="214"/>
      <c r="J101" s="223" t="s">
        <v>228</v>
      </c>
      <c r="K101" s="21"/>
      <c r="P101" s="92"/>
      <c r="V101" s="289"/>
      <c r="Y101" s="23"/>
      <c r="Z101" s="23"/>
      <c r="AA101" s="24"/>
      <c r="AB101" s="24"/>
      <c r="AC101" s="24"/>
      <c r="AD101" s="24"/>
      <c r="AE101" s="24"/>
      <c r="AF101" s="24"/>
      <c r="AG101" s="24"/>
      <c r="AH101" s="24"/>
      <c r="AI101" s="24"/>
      <c r="AJ101" s="24"/>
      <c r="AK101" s="24"/>
      <c r="AL101" s="24"/>
      <c r="AM101" s="25"/>
      <c r="AN101" s="25"/>
      <c r="AP101" s="25"/>
      <c r="AQ101" s="24"/>
      <c r="AR101" s="24"/>
      <c r="AS101" s="24"/>
      <c r="AT101" s="24"/>
      <c r="AU101" s="24"/>
      <c r="AV101" s="24"/>
      <c r="AW101" s="24"/>
      <c r="AX101" s="24"/>
      <c r="AY101" s="24"/>
      <c r="AZ101" s="24"/>
      <c r="BA101" s="24"/>
      <c r="BB101" s="24"/>
      <c r="BC101" s="24"/>
      <c r="BD101" s="24"/>
      <c r="BE101" s="24"/>
      <c r="BF101" s="24"/>
      <c r="BH101" s="26"/>
      <c r="BJ101" s="24"/>
      <c r="BK101" s="24"/>
      <c r="BL101" s="24"/>
      <c r="BM101" s="24"/>
      <c r="BN101" s="24"/>
      <c r="BO101" s="24"/>
      <c r="BP101" s="24"/>
      <c r="BQ101" s="24"/>
      <c r="BR101" s="24"/>
      <c r="BS101" s="24"/>
      <c r="BT101" s="24"/>
      <c r="BU101" s="24"/>
      <c r="BV101" s="24"/>
      <c r="BW101" s="24"/>
      <c r="BX101" s="24"/>
      <c r="CC101" s="21"/>
      <c r="CD101" s="21"/>
      <c r="CE101" s="21"/>
      <c r="CF101" s="21"/>
      <c r="CG101" s="21"/>
      <c r="CH101" s="21"/>
      <c r="CK101" s="24"/>
      <c r="CL101" s="24"/>
      <c r="CM101" s="24"/>
      <c r="CN101" s="22"/>
      <c r="CO101" s="24"/>
      <c r="CP101" s="24"/>
      <c r="CQ101" s="24"/>
      <c r="CR101" s="24"/>
      <c r="CS101" s="24"/>
      <c r="CT101" s="22"/>
      <c r="CU101" s="24"/>
      <c r="CV101" s="24"/>
      <c r="CW101" s="22"/>
      <c r="CX101" s="22"/>
      <c r="CY101" s="22"/>
      <c r="CZ101" s="22"/>
      <c r="DA101" s="22"/>
    </row>
    <row r="102" spans="1:105" ht="15.75" customHeight="1" x14ac:dyDescent="0.55000000000000004">
      <c r="C102" s="119" t="s">
        <v>229</v>
      </c>
      <c r="K102" s="21" t="s">
        <v>229</v>
      </c>
      <c r="N102" s="393" t="s">
        <v>21</v>
      </c>
      <c r="P102" s="430">
        <f>F103*F104</f>
        <v>96</v>
      </c>
      <c r="CB102" s="24"/>
    </row>
    <row r="103" spans="1:105" ht="15.75" customHeight="1" x14ac:dyDescent="0.45">
      <c r="C103" s="119" t="s">
        <v>230</v>
      </c>
      <c r="D103" s="276" t="s">
        <v>21</v>
      </c>
      <c r="F103" s="165">
        <v>2400</v>
      </c>
      <c r="H103" s="120" t="s">
        <v>308</v>
      </c>
      <c r="K103" s="21" t="s">
        <v>231</v>
      </c>
      <c r="N103" s="393" t="s">
        <v>21</v>
      </c>
      <c r="P103" s="413"/>
    </row>
    <row r="104" spans="1:105" ht="15.75" customHeight="1" x14ac:dyDescent="0.45">
      <c r="C104" s="119" t="s">
        <v>224</v>
      </c>
      <c r="D104" s="276" t="s">
        <v>25</v>
      </c>
      <c r="F104" s="388">
        <v>0.04</v>
      </c>
      <c r="H104" s="120" t="s">
        <v>308</v>
      </c>
      <c r="K104" s="21" t="s">
        <v>233</v>
      </c>
      <c r="N104" s="393" t="s">
        <v>21</v>
      </c>
      <c r="P104" s="137">
        <f>F109*F110</f>
        <v>9.6</v>
      </c>
    </row>
    <row r="105" spans="1:105" ht="15.75" customHeight="1" x14ac:dyDescent="0.55000000000000004">
      <c r="C105" s="119" t="s">
        <v>234</v>
      </c>
    </row>
    <row r="106" spans="1:105" ht="15.75" customHeight="1" x14ac:dyDescent="0.45">
      <c r="C106" s="119" t="s">
        <v>230</v>
      </c>
      <c r="D106" s="276" t="s">
        <v>21</v>
      </c>
      <c r="F106" s="413"/>
      <c r="H106" s="120" t="s">
        <v>318</v>
      </c>
      <c r="K106" s="21" t="s">
        <v>235</v>
      </c>
      <c r="N106" s="393" t="s">
        <v>21</v>
      </c>
      <c r="P106" s="174">
        <f>P99</f>
        <v>0.18</v>
      </c>
    </row>
    <row r="107" spans="1:105" ht="15.75" customHeight="1" x14ac:dyDescent="0.45">
      <c r="C107" s="119" t="s">
        <v>224</v>
      </c>
      <c r="D107" s="276" t="s">
        <v>25</v>
      </c>
      <c r="F107" s="388">
        <v>1.4E-2</v>
      </c>
      <c r="H107" s="120" t="s">
        <v>308</v>
      </c>
      <c r="K107" s="21" t="s">
        <v>319</v>
      </c>
      <c r="N107" s="393" t="s">
        <v>21</v>
      </c>
      <c r="P107" s="173">
        <f>SUM(P97,P99,P102,P104,P103)</f>
        <v>105.78</v>
      </c>
    </row>
    <row r="108" spans="1:105" ht="15.75" customHeight="1" x14ac:dyDescent="0.45">
      <c r="C108" s="119" t="s">
        <v>233</v>
      </c>
      <c r="K108" s="21" t="s">
        <v>237</v>
      </c>
      <c r="N108" s="393" t="s">
        <v>21</v>
      </c>
      <c r="P108" s="173">
        <f>SUM(P97,P99,P103)</f>
        <v>0.18</v>
      </c>
    </row>
    <row r="109" spans="1:105" x14ac:dyDescent="0.45">
      <c r="C109" s="119" t="s">
        <v>230</v>
      </c>
      <c r="D109" s="276" t="s">
        <v>21</v>
      </c>
      <c r="F109" s="165">
        <v>2400</v>
      </c>
      <c r="H109" s="120" t="s">
        <v>308</v>
      </c>
    </row>
    <row r="110" spans="1:105" x14ac:dyDescent="0.45">
      <c r="C110" s="119" t="s">
        <v>224</v>
      </c>
      <c r="D110" s="276" t="s">
        <v>25</v>
      </c>
      <c r="F110" s="388">
        <v>4.0000000000000001E-3</v>
      </c>
      <c r="H110" s="120" t="s">
        <v>308</v>
      </c>
    </row>
    <row r="111" spans="1:105" x14ac:dyDescent="0.55000000000000004">
      <c r="C111" s="21"/>
    </row>
    <row r="112" spans="1:105" ht="15.75" customHeight="1" x14ac:dyDescent="0.55000000000000004">
      <c r="A112" s="207"/>
      <c r="B112" s="223" t="s">
        <v>238</v>
      </c>
      <c r="C112" s="250"/>
      <c r="D112" s="400"/>
      <c r="I112" s="214"/>
      <c r="J112" s="223" t="s">
        <v>238</v>
      </c>
      <c r="K112" s="21"/>
      <c r="V112" s="289"/>
      <c r="Y112" s="23"/>
      <c r="Z112" s="23"/>
      <c r="AA112" s="24"/>
      <c r="AB112" s="24"/>
      <c r="AC112" s="24"/>
      <c r="AD112" s="24"/>
      <c r="AE112" s="24"/>
      <c r="AF112" s="24"/>
      <c r="AG112" s="24"/>
      <c r="AH112" s="24"/>
      <c r="AI112" s="24"/>
      <c r="AJ112" s="24"/>
      <c r="AK112" s="24"/>
      <c r="AL112" s="24"/>
      <c r="AM112" s="25"/>
      <c r="AN112" s="25"/>
      <c r="AP112" s="25"/>
      <c r="AQ112" s="24"/>
      <c r="AR112" s="24"/>
      <c r="AS112" s="24"/>
      <c r="AT112" s="24"/>
      <c r="AU112" s="24"/>
      <c r="AV112" s="24"/>
      <c r="AW112" s="24"/>
      <c r="AX112" s="24"/>
      <c r="AY112" s="24"/>
      <c r="AZ112" s="24"/>
      <c r="BA112" s="24"/>
      <c r="BB112" s="24"/>
      <c r="BC112" s="24"/>
      <c r="BD112" s="24"/>
      <c r="BE112" s="24"/>
      <c r="BF112" s="24"/>
      <c r="BH112" s="26"/>
      <c r="BJ112" s="24"/>
      <c r="BK112" s="24"/>
      <c r="BL112" s="24"/>
      <c r="BM112" s="24"/>
      <c r="BN112" s="24"/>
      <c r="BO112" s="24"/>
      <c r="BP112" s="24"/>
      <c r="BQ112" s="24"/>
      <c r="BR112" s="24"/>
      <c r="BS112" s="24"/>
      <c r="BT112" s="24"/>
      <c r="BU112" s="24"/>
      <c r="BV112" s="24"/>
      <c r="BW112" s="24"/>
      <c r="BX112" s="24"/>
      <c r="CK112" s="24"/>
      <c r="CL112" s="24"/>
      <c r="CM112" s="24"/>
      <c r="CN112" s="22"/>
      <c r="CO112" s="24"/>
      <c r="CP112" s="24"/>
      <c r="CQ112" s="24"/>
      <c r="CR112" s="24"/>
      <c r="CS112" s="24"/>
      <c r="CT112" s="22"/>
      <c r="CU112" s="24"/>
      <c r="CV112" s="24"/>
      <c r="CW112" s="22"/>
      <c r="CX112" s="22"/>
      <c r="CY112" s="22"/>
      <c r="CZ112" s="22"/>
      <c r="DA112" s="22"/>
    </row>
    <row r="113" spans="3:80" x14ac:dyDescent="0.55000000000000004">
      <c r="C113" s="119" t="s">
        <v>239</v>
      </c>
      <c r="K113" s="21"/>
      <c r="P113" s="35" t="s">
        <v>239</v>
      </c>
      <c r="CB113" s="24"/>
    </row>
    <row r="114" spans="3:80" x14ac:dyDescent="0.45">
      <c r="C114" s="119" t="s">
        <v>230</v>
      </c>
      <c r="D114" s="276" t="s">
        <v>21</v>
      </c>
      <c r="F114" s="327">
        <v>0</v>
      </c>
      <c r="K114" s="21" t="s">
        <v>230</v>
      </c>
      <c r="N114" s="191" t="s">
        <v>21</v>
      </c>
      <c r="P114" s="143">
        <f>F114</f>
        <v>0</v>
      </c>
    </row>
    <row r="115" spans="3:80" x14ac:dyDescent="0.45">
      <c r="C115" s="21" t="s">
        <v>396</v>
      </c>
      <c r="D115" s="276" t="s">
        <v>25</v>
      </c>
      <c r="F115" s="179">
        <f>ROUND((1.18%+(1%*260%))/(1+(1.18%+1%*260%)),4)</f>
        <v>3.6400000000000002E-2</v>
      </c>
      <c r="H115" s="21" t="s">
        <v>240</v>
      </c>
      <c r="K115" s="21" t="s">
        <v>224</v>
      </c>
      <c r="N115" s="191" t="s">
        <v>25</v>
      </c>
      <c r="P115" s="283">
        <f>F115</f>
        <v>3.6400000000000002E-2</v>
      </c>
    </row>
    <row r="116" spans="3:80" x14ac:dyDescent="0.55000000000000004">
      <c r="C116" s="119" t="s">
        <v>241</v>
      </c>
      <c r="K116" s="241" t="s">
        <v>226</v>
      </c>
      <c r="L116" s="241"/>
      <c r="M116" s="241"/>
      <c r="N116" s="242" t="s">
        <v>21</v>
      </c>
      <c r="O116" s="241"/>
      <c r="P116" s="284">
        <f>P114*P115</f>
        <v>0</v>
      </c>
    </row>
    <row r="117" spans="3:80" x14ac:dyDescent="0.45">
      <c r="C117" s="119" t="s">
        <v>242</v>
      </c>
      <c r="D117" s="276" t="s">
        <v>21</v>
      </c>
      <c r="F117" s="327">
        <v>0</v>
      </c>
      <c r="K117" s="21"/>
      <c r="N117" s="21"/>
    </row>
    <row r="118" spans="3:80" x14ac:dyDescent="0.45">
      <c r="C118" s="21" t="s">
        <v>397</v>
      </c>
      <c r="D118" s="276" t="s">
        <v>25</v>
      </c>
      <c r="F118" s="150">
        <v>0</v>
      </c>
      <c r="H118" s="21" t="s">
        <v>240</v>
      </c>
      <c r="K118" s="21"/>
      <c r="N118" s="191"/>
      <c r="P118" s="35" t="s">
        <v>243</v>
      </c>
    </row>
    <row r="119" spans="3:80" x14ac:dyDescent="0.55000000000000004">
      <c r="C119" s="119" t="s">
        <v>244</v>
      </c>
      <c r="K119" s="21" t="s">
        <v>230</v>
      </c>
      <c r="N119" s="191" t="s">
        <v>21</v>
      </c>
      <c r="P119" s="143">
        <f>F117</f>
        <v>0</v>
      </c>
    </row>
    <row r="120" spans="3:80" x14ac:dyDescent="0.45">
      <c r="C120" s="119" t="s">
        <v>242</v>
      </c>
      <c r="D120" s="276" t="s">
        <v>21</v>
      </c>
      <c r="F120" s="327">
        <v>0</v>
      </c>
      <c r="K120" s="21" t="s">
        <v>224</v>
      </c>
      <c r="N120" s="191" t="s">
        <v>25</v>
      </c>
      <c r="P120" s="283">
        <f>F118</f>
        <v>0</v>
      </c>
    </row>
    <row r="121" spans="3:80" x14ac:dyDescent="0.45">
      <c r="C121" s="21" t="s">
        <v>397</v>
      </c>
      <c r="D121" s="276" t="s">
        <v>25</v>
      </c>
      <c r="F121" s="179">
        <f>ROUND((23.2%*(10.4%+10.3%+4%))/(1+(1.18%+1%*260%)),4)</f>
        <v>5.5199999999999999E-2</v>
      </c>
      <c r="H121" s="21" t="s">
        <v>245</v>
      </c>
      <c r="K121" s="241" t="s">
        <v>226</v>
      </c>
      <c r="L121" s="241"/>
      <c r="M121" s="241"/>
      <c r="N121" s="242" t="s">
        <v>21</v>
      </c>
      <c r="O121" s="241"/>
      <c r="P121" s="284">
        <f>P119*P120</f>
        <v>0</v>
      </c>
    </row>
    <row r="122" spans="3:80" x14ac:dyDescent="0.55000000000000004">
      <c r="K122" s="21"/>
      <c r="N122" s="21"/>
    </row>
    <row r="123" spans="3:80" x14ac:dyDescent="0.45">
      <c r="C123" s="119" t="s">
        <v>247</v>
      </c>
      <c r="D123" s="276" t="s">
        <v>21</v>
      </c>
      <c r="F123" s="328"/>
      <c r="K123" s="21"/>
      <c r="N123" s="191"/>
      <c r="P123" s="35" t="s">
        <v>246</v>
      </c>
    </row>
    <row r="124" spans="3:80" x14ac:dyDescent="0.45">
      <c r="C124" s="119" t="s">
        <v>248</v>
      </c>
      <c r="D124" s="276" t="s">
        <v>21</v>
      </c>
      <c r="F124" s="328"/>
      <c r="K124" s="21" t="s">
        <v>230</v>
      </c>
      <c r="N124" s="191" t="s">
        <v>21</v>
      </c>
      <c r="P124" s="143">
        <f>F120</f>
        <v>0</v>
      </c>
    </row>
    <row r="125" spans="3:80" x14ac:dyDescent="0.55000000000000004">
      <c r="K125" s="21" t="s">
        <v>224</v>
      </c>
      <c r="N125" s="191" t="s">
        <v>25</v>
      </c>
      <c r="P125" s="283">
        <f>F121</f>
        <v>5.5199999999999999E-2</v>
      </c>
    </row>
    <row r="126" spans="3:80" x14ac:dyDescent="0.55000000000000004">
      <c r="K126" s="241" t="s">
        <v>226</v>
      </c>
      <c r="L126" s="241"/>
      <c r="M126" s="241"/>
      <c r="N126" s="242" t="s">
        <v>21</v>
      </c>
      <c r="O126" s="241"/>
      <c r="P126" s="284">
        <f>P124*P125</f>
        <v>0</v>
      </c>
    </row>
    <row r="127" spans="3:80" x14ac:dyDescent="0.55000000000000004">
      <c r="K127" s="21"/>
      <c r="N127" s="21"/>
    </row>
    <row r="128" spans="3:80" x14ac:dyDescent="0.55000000000000004">
      <c r="K128" s="21" t="s">
        <v>249</v>
      </c>
      <c r="N128" s="393" t="s">
        <v>21</v>
      </c>
      <c r="P128" s="139">
        <f>IF($F$14="都道府県",P102,0)</f>
        <v>0</v>
      </c>
    </row>
    <row r="129" spans="1:116" x14ac:dyDescent="0.45">
      <c r="K129" s="21" t="s">
        <v>250</v>
      </c>
      <c r="N129" s="393" t="s">
        <v>21</v>
      </c>
      <c r="P129" s="413"/>
    </row>
    <row r="130" spans="1:116" x14ac:dyDescent="0.55000000000000004">
      <c r="K130" s="35"/>
    </row>
    <row r="131" spans="1:116" x14ac:dyDescent="0.55000000000000004">
      <c r="K131" s="21" t="s">
        <v>251</v>
      </c>
      <c r="N131" s="393" t="s">
        <v>21</v>
      </c>
      <c r="P131" s="126">
        <f>IF($F$14=$O$14,0, IF($F$14=$P$14,SUM(P116,P121),SUM(P126)))</f>
        <v>0</v>
      </c>
    </row>
    <row r="132" spans="1:116" x14ac:dyDescent="0.55000000000000004">
      <c r="K132" s="21" t="s">
        <v>252</v>
      </c>
      <c r="N132" s="191" t="s">
        <v>21</v>
      </c>
      <c r="P132" s="126">
        <f>IF($F$14=$O$14, P105, IF($F$14=$P$14,SUM(P116,P121, P128),SUM(P126, P129)))</f>
        <v>0</v>
      </c>
    </row>
    <row r="133" spans="1:116" x14ac:dyDescent="0.55000000000000004">
      <c r="K133" s="21" t="s">
        <v>237</v>
      </c>
      <c r="N133" s="191" t="s">
        <v>21</v>
      </c>
      <c r="P133" s="126">
        <f>IF($F$14=$O$14, 0,IF($F$14=$P$14,SUM(P116,P121, P128),SUM(P129)))</f>
        <v>0</v>
      </c>
    </row>
    <row r="134" spans="1:116" x14ac:dyDescent="0.55000000000000004">
      <c r="K134" s="21"/>
    </row>
    <row r="135" spans="1:116" ht="15.75" customHeight="1" thickBot="1" x14ac:dyDescent="0.6">
      <c r="A135" s="210" t="s">
        <v>45</v>
      </c>
      <c r="B135" s="225"/>
      <c r="C135" s="202"/>
      <c r="D135" s="404"/>
      <c r="E135" s="202"/>
      <c r="F135" s="202"/>
      <c r="G135" s="202"/>
      <c r="H135" s="202"/>
      <c r="I135" s="217" t="s">
        <v>253</v>
      </c>
      <c r="J135" s="225"/>
      <c r="K135" s="202"/>
      <c r="L135" s="202"/>
      <c r="M135" s="202"/>
      <c r="N135" s="399"/>
      <c r="O135" s="202"/>
      <c r="P135" s="202"/>
      <c r="Q135" s="202"/>
      <c r="R135" s="202"/>
      <c r="S135" s="202"/>
      <c r="T135" s="202"/>
      <c r="U135" s="202"/>
      <c r="V135" s="289"/>
      <c r="Y135" s="23"/>
      <c r="Z135" s="23"/>
      <c r="AA135" s="24"/>
      <c r="AB135" s="24"/>
      <c r="AC135" s="24"/>
      <c r="AD135" s="24"/>
      <c r="AE135" s="24"/>
      <c r="AF135" s="24"/>
      <c r="AG135" s="24"/>
      <c r="AH135" s="24"/>
      <c r="AI135" s="24"/>
      <c r="AJ135" s="24"/>
      <c r="AK135" s="24"/>
      <c r="AL135" s="24"/>
      <c r="AM135" s="24"/>
      <c r="AN135" s="24"/>
      <c r="AO135" s="24"/>
      <c r="AP135" s="24"/>
      <c r="AQ135" s="24"/>
      <c r="AR135" s="24"/>
      <c r="AS135" s="24"/>
      <c r="AT135" s="25"/>
      <c r="AU135" s="25"/>
      <c r="AV135" s="26"/>
      <c r="AW135" s="25"/>
      <c r="AX135" s="24"/>
      <c r="AY135" s="24"/>
      <c r="AZ135" s="24"/>
      <c r="BA135" s="24"/>
      <c r="BB135" s="24"/>
      <c r="BC135" s="24"/>
      <c r="BD135" s="24"/>
      <c r="BE135" s="24"/>
      <c r="BF135" s="24"/>
      <c r="BG135" s="24"/>
      <c r="BH135" s="24"/>
      <c r="BI135" s="24"/>
      <c r="BJ135" s="24"/>
      <c r="BK135" s="24"/>
      <c r="BL135" s="24"/>
      <c r="BM135" s="24"/>
      <c r="BN135" s="24"/>
      <c r="BO135" s="24"/>
      <c r="BP135" s="24"/>
      <c r="BQ135" s="24"/>
      <c r="BR135" s="24"/>
      <c r="BT135" s="26"/>
      <c r="BV135" s="24"/>
      <c r="BW135" s="24"/>
      <c r="BX135" s="24"/>
      <c r="CB135" s="24"/>
      <c r="CK135" s="24"/>
      <c r="CL135" s="24"/>
      <c r="CM135" s="24"/>
      <c r="CN135" s="24"/>
      <c r="CO135" s="24"/>
      <c r="CP135" s="24"/>
      <c r="CQ135" s="24"/>
      <c r="CR135" s="24"/>
      <c r="CS135" s="24"/>
      <c r="CT135" s="24"/>
      <c r="CU135" s="24"/>
      <c r="CV135" s="24"/>
      <c r="CW135" s="24"/>
      <c r="CX135" s="22"/>
      <c r="CY135" s="24"/>
      <c r="CZ135" s="24"/>
      <c r="DA135" s="24"/>
      <c r="DB135" s="24"/>
      <c r="DC135" s="24"/>
      <c r="DD135" s="22"/>
      <c r="DE135" s="24"/>
      <c r="DF135" s="24"/>
      <c r="DH135" s="22"/>
      <c r="DI135" s="22"/>
      <c r="DJ135" s="22"/>
      <c r="DK135" s="22"/>
      <c r="DL135" s="22"/>
    </row>
    <row r="136" spans="1:116" x14ac:dyDescent="0.55000000000000004">
      <c r="A136" s="35"/>
      <c r="K136" s="21"/>
      <c r="CB136" s="24"/>
    </row>
    <row r="137" spans="1:116" ht="15.75" customHeight="1" x14ac:dyDescent="0.55000000000000004">
      <c r="A137" s="207"/>
      <c r="B137" s="223" t="s">
        <v>254</v>
      </c>
      <c r="C137" s="25"/>
      <c r="D137" s="407"/>
      <c r="E137" s="26"/>
      <c r="I137" s="214"/>
      <c r="J137" s="223" t="s">
        <v>254</v>
      </c>
      <c r="K137" s="21"/>
      <c r="O137" s="21" t="s">
        <v>18</v>
      </c>
      <c r="P137" s="21" t="s">
        <v>200</v>
      </c>
      <c r="T137" s="191"/>
      <c r="V137" s="289"/>
      <c r="Y137" s="23"/>
      <c r="Z137" s="23"/>
      <c r="AA137" s="24"/>
      <c r="AB137" s="24"/>
      <c r="AC137" s="24"/>
      <c r="AD137" s="24"/>
      <c r="AE137" s="24"/>
      <c r="AF137" s="24"/>
      <c r="AG137" s="24"/>
      <c r="AH137" s="24"/>
      <c r="AI137" s="24"/>
      <c r="AJ137" s="24"/>
      <c r="AK137" s="24"/>
      <c r="AL137" s="24"/>
      <c r="AM137" s="24"/>
      <c r="AN137" s="24"/>
      <c r="AO137" s="24"/>
      <c r="AP137" s="24"/>
      <c r="AQ137" s="24"/>
      <c r="AR137" s="24"/>
      <c r="AS137" s="24"/>
      <c r="AT137" s="25"/>
      <c r="AU137" s="25"/>
      <c r="AV137" s="26"/>
      <c r="AW137" s="25"/>
      <c r="AX137" s="24"/>
      <c r="AY137" s="24"/>
      <c r="AZ137" s="24"/>
      <c r="BA137" s="24"/>
      <c r="BB137" s="24"/>
      <c r="BC137" s="24"/>
      <c r="BD137" s="24"/>
      <c r="BE137" s="24"/>
      <c r="BF137" s="24"/>
      <c r="BG137" s="24"/>
      <c r="BH137" s="24"/>
      <c r="BI137" s="24"/>
      <c r="BJ137" s="24"/>
      <c r="BK137" s="24"/>
      <c r="BL137" s="24"/>
      <c r="BM137" s="24"/>
      <c r="BN137" s="24"/>
      <c r="BO137" s="24"/>
      <c r="BP137" s="24"/>
      <c r="BQ137" s="24"/>
      <c r="BR137" s="24"/>
      <c r="BT137" s="26"/>
      <c r="BV137" s="24"/>
      <c r="BW137" s="24"/>
      <c r="BX137" s="24"/>
      <c r="CB137" s="24"/>
      <c r="CK137" s="24"/>
      <c r="CL137" s="24"/>
      <c r="CM137" s="24"/>
      <c r="CN137" s="24"/>
      <c r="CO137" s="24"/>
      <c r="CP137" s="24"/>
      <c r="CQ137" s="24"/>
      <c r="CR137" s="24"/>
      <c r="CS137" s="24"/>
      <c r="CT137" s="24"/>
      <c r="CU137" s="24"/>
      <c r="CV137" s="24"/>
      <c r="CW137" s="24"/>
      <c r="CX137" s="22"/>
      <c r="CY137" s="24"/>
      <c r="CZ137" s="24"/>
      <c r="DA137" s="24"/>
      <c r="DB137" s="24"/>
      <c r="DC137" s="24"/>
      <c r="DD137" s="22"/>
      <c r="DE137" s="24"/>
      <c r="DF137" s="24"/>
      <c r="DH137" s="22"/>
      <c r="DI137" s="22"/>
      <c r="DJ137" s="22"/>
      <c r="DK137" s="22"/>
      <c r="DL137" s="22"/>
    </row>
    <row r="138" spans="1:116" x14ac:dyDescent="0.45">
      <c r="C138" s="119" t="s">
        <v>181</v>
      </c>
      <c r="D138" s="276" t="s">
        <v>21</v>
      </c>
      <c r="F138" s="150">
        <v>30</v>
      </c>
      <c r="K138" s="119" t="s">
        <v>255</v>
      </c>
      <c r="N138" s="393" t="s">
        <v>21</v>
      </c>
      <c r="O138" s="173">
        <f>F138</f>
        <v>30</v>
      </c>
      <c r="P138" s="169"/>
    </row>
    <row r="139" spans="1:116" x14ac:dyDescent="0.45">
      <c r="C139" s="119" t="s">
        <v>256</v>
      </c>
      <c r="D139" s="276" t="s">
        <v>21</v>
      </c>
      <c r="F139" s="150">
        <v>12</v>
      </c>
      <c r="K139" s="119" t="s">
        <v>257</v>
      </c>
      <c r="N139" s="393" t="s">
        <v>21</v>
      </c>
      <c r="O139" s="176">
        <f>F139*O17</f>
        <v>276</v>
      </c>
      <c r="P139" s="169"/>
    </row>
    <row r="140" spans="1:116" x14ac:dyDescent="0.45">
      <c r="C140" s="119" t="s">
        <v>258</v>
      </c>
      <c r="D140" s="276" t="s">
        <v>21</v>
      </c>
      <c r="F140" s="150">
        <v>100</v>
      </c>
      <c r="K140" s="119" t="s">
        <v>259</v>
      </c>
      <c r="N140" s="393" t="s">
        <v>21</v>
      </c>
      <c r="O140" s="173">
        <f>F140</f>
        <v>100</v>
      </c>
      <c r="P140" s="169"/>
    </row>
    <row r="141" spans="1:116" x14ac:dyDescent="0.45">
      <c r="K141" s="119" t="s">
        <v>260</v>
      </c>
      <c r="M141" s="21" t="s">
        <v>261</v>
      </c>
      <c r="N141" s="393" t="s">
        <v>25</v>
      </c>
      <c r="O141" s="140">
        <f>F83</f>
        <v>1.95E-2</v>
      </c>
      <c r="P141" s="169"/>
    </row>
    <row r="142" spans="1:116" x14ac:dyDescent="0.45">
      <c r="M142" s="21" t="s">
        <v>262</v>
      </c>
      <c r="N142" s="393" t="s">
        <v>25</v>
      </c>
      <c r="O142" s="381">
        <f>P86</f>
        <v>2.7833999999999998E-2</v>
      </c>
      <c r="P142" s="169"/>
    </row>
    <row r="143" spans="1:116" x14ac:dyDescent="0.45">
      <c r="M143" s="21" t="s">
        <v>263</v>
      </c>
      <c r="N143" s="393" t="s">
        <v>25</v>
      </c>
      <c r="O143" s="140">
        <f>O142-O141</f>
        <v>8.3339999999999977E-3</v>
      </c>
      <c r="P143" s="169"/>
    </row>
    <row r="144" spans="1:116" x14ac:dyDescent="0.45">
      <c r="M144" s="141" t="s">
        <v>264</v>
      </c>
      <c r="N144" s="393" t="s">
        <v>21</v>
      </c>
      <c r="O144" s="176">
        <f>SUM(AK18:AK48)</f>
        <v>126.15300503547348</v>
      </c>
      <c r="P144" s="169"/>
    </row>
    <row r="145" spans="2:88" x14ac:dyDescent="0.55000000000000004">
      <c r="C145" s="21"/>
      <c r="K145" s="21"/>
    </row>
    <row r="146" spans="2:88" ht="18" thickBot="1" x14ac:dyDescent="0.6">
      <c r="CB146" s="142"/>
    </row>
    <row r="147" spans="2:88" s="142" customFormat="1" ht="15" customHeight="1" thickTop="1" thickBot="1" x14ac:dyDescent="0.6">
      <c r="B147" s="142" t="s">
        <v>265</v>
      </c>
      <c r="D147" s="408"/>
      <c r="E147" s="167"/>
      <c r="F147" s="167"/>
      <c r="I147" s="333"/>
      <c r="N147" s="392"/>
      <c r="O147" s="167"/>
      <c r="P147" s="167"/>
      <c r="BY147" s="24"/>
      <c r="BZ147" s="24"/>
      <c r="CA147" s="24"/>
      <c r="CB147" s="22"/>
      <c r="CC147" s="24"/>
      <c r="CD147" s="22"/>
      <c r="CE147" s="22"/>
      <c r="CF147" s="22"/>
      <c r="CG147" s="22"/>
      <c r="CH147" s="22"/>
      <c r="CI147" s="21"/>
      <c r="CJ147" s="21"/>
    </row>
    <row r="148" spans="2:88" ht="17" thickTop="1" x14ac:dyDescent="0.55000000000000004"/>
    <row r="149" spans="2:88" x14ac:dyDescent="0.55000000000000004"/>
    <row r="150" spans="2:88" x14ac:dyDescent="0.55000000000000004"/>
    <row r="151" spans="2:88" x14ac:dyDescent="0.55000000000000004"/>
    <row r="152" spans="2:88" x14ac:dyDescent="0.55000000000000004"/>
    <row r="153" spans="2:88" x14ac:dyDescent="0.55000000000000004"/>
    <row r="154" spans="2:88" x14ac:dyDescent="0.55000000000000004"/>
    <row r="155" spans="2:88" x14ac:dyDescent="0.55000000000000004"/>
    <row r="156" spans="2:88" x14ac:dyDescent="0.55000000000000004"/>
    <row r="157" spans="2:88" x14ac:dyDescent="0.55000000000000004"/>
    <row r="158" spans="2:88" x14ac:dyDescent="0.55000000000000004"/>
    <row r="159" spans="2:88" x14ac:dyDescent="0.55000000000000004"/>
    <row r="160" spans="2:88" x14ac:dyDescent="0.55000000000000004"/>
    <row r="161" spans="77:88" x14ac:dyDescent="0.55000000000000004"/>
    <row r="162" spans="77:88" x14ac:dyDescent="0.55000000000000004"/>
    <row r="163" spans="77:88" x14ac:dyDescent="0.55000000000000004"/>
    <row r="164" spans="77:88" x14ac:dyDescent="0.55000000000000004"/>
    <row r="165" spans="77:88" x14ac:dyDescent="0.55000000000000004"/>
    <row r="166" spans="77:88" ht="18" thickBot="1" x14ac:dyDescent="0.6">
      <c r="BY166" s="142"/>
      <c r="BZ166" s="142"/>
      <c r="CA166" s="142"/>
    </row>
    <row r="167" spans="77:88" ht="17" thickTop="1" x14ac:dyDescent="0.55000000000000004"/>
    <row r="168" spans="77:88" ht="18" thickBot="1" x14ac:dyDescent="0.6">
      <c r="CC168" s="142"/>
      <c r="CD168" s="142"/>
      <c r="CE168" s="142"/>
      <c r="CF168" s="142"/>
      <c r="CG168" s="142"/>
      <c r="CH168" s="142"/>
      <c r="CI168" s="142"/>
      <c r="CJ168" s="142"/>
    </row>
    <row r="169" spans="77:88" ht="17" thickTop="1" x14ac:dyDescent="0.55000000000000004"/>
    <row r="170" spans="77:88" x14ac:dyDescent="0.55000000000000004"/>
    <row r="171" spans="77:88" x14ac:dyDescent="0.55000000000000004"/>
    <row r="172" spans="77:88" x14ac:dyDescent="0.55000000000000004"/>
    <row r="173" spans="77:88" x14ac:dyDescent="0.55000000000000004"/>
    <row r="174" spans="77:88" x14ac:dyDescent="0.55000000000000004"/>
    <row r="175" spans="77:88" x14ac:dyDescent="0.55000000000000004"/>
    <row r="176" spans="77:88" x14ac:dyDescent="0.55000000000000004"/>
    <row r="177" x14ac:dyDescent="0.55000000000000004"/>
    <row r="178" x14ac:dyDescent="0.55000000000000004"/>
    <row r="179" x14ac:dyDescent="0.55000000000000004"/>
    <row r="180" x14ac:dyDescent="0.55000000000000004"/>
    <row r="181" x14ac:dyDescent="0.55000000000000004"/>
    <row r="182" x14ac:dyDescent="0.55000000000000004"/>
    <row r="183" x14ac:dyDescent="0.55000000000000004"/>
    <row r="184" x14ac:dyDescent="0.55000000000000004"/>
    <row r="185" x14ac:dyDescent="0.55000000000000004"/>
    <row r="186" x14ac:dyDescent="0.55000000000000004"/>
    <row r="187" x14ac:dyDescent="0.55000000000000004"/>
    <row r="188" x14ac:dyDescent="0.55000000000000004"/>
    <row r="189" x14ac:dyDescent="0.55000000000000004"/>
    <row r="190" x14ac:dyDescent="0.55000000000000004"/>
    <row r="191" x14ac:dyDescent="0.55000000000000004"/>
  </sheetData>
  <sheetProtection algorithmName="SHA-512" hashValue="jGU2gAEvORC1PBjQPAyFXLzgWLwZUWN2QutdIahz8qCfPSy1qb/gP1rMpk8GdjElhrRW6zRBwTlvnxiuiKPZTg==" saltValue="DWG9hjhwNg80JEAPDXyVPg==" spinCount="100000" sheet="1" formatCells="0" formatRows="0" insertColumns="0" insertRows="0" insertHyperlinks="0" deleteColumns="0" deleteRows="0" sort="0" autoFilter="0" pivotTables="0"/>
  <phoneticPr fontId="2"/>
  <dataValidations count="1">
    <dataValidation type="list" allowBlank="1" showInputMessage="1" showErrorMessage="1" sqref="F14" xr:uid="{B6F20DC9-043B-445E-ACF0-A23A99EB222A}">
      <formula1>$O$14:$Q$14</formula1>
    </dataValidation>
  </dataValidations>
  <pageMargins left="0.23622047244094491" right="0.23622047244094491" top="0.74803149606299213" bottom="0.74803149606299213" header="0.31496062992125984" footer="0.31496062992125984"/>
  <pageSetup paperSize="8" scale="22" fitToHeight="0" orientation="landscape" r:id="rId1"/>
  <colBreaks count="2" manualBreakCount="2">
    <brk id="21" max="1048575" man="1"/>
    <brk id="5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01A57-36A6-4554-A12D-A5638E28AE9A}">
  <sheetPr>
    <tabColor rgb="FFFFC000"/>
    <pageSetUpPr fitToPage="1"/>
  </sheetPr>
  <dimension ref="A1:DB179"/>
  <sheetViews>
    <sheetView showGridLines="0" view="pageBreakPreview" zoomScaleNormal="40" zoomScaleSheetLayoutView="100" workbookViewId="0"/>
  </sheetViews>
  <sheetFormatPr defaultColWidth="9" defaultRowHeight="16.5" zeroHeight="1" outlineLevelCol="1" x14ac:dyDescent="0.55000000000000004"/>
  <cols>
    <col min="1" max="2" width="4.25" style="21" customWidth="1"/>
    <col min="3" max="3" width="40.08203125" style="21" bestFit="1" customWidth="1"/>
    <col min="4" max="4" width="7.33203125" style="191" customWidth="1"/>
    <col min="5" max="6" width="15.08203125" style="21" customWidth="1"/>
    <col min="7" max="7" width="2.5" style="21" customWidth="1"/>
    <col min="8" max="8" width="35.08203125" style="21" customWidth="1"/>
    <col min="9" max="9" width="1.58203125" style="289" customWidth="1"/>
    <col min="10" max="10" width="4.25" style="21" customWidth="1" outlineLevel="1"/>
    <col min="11" max="11" width="12.5" style="21" customWidth="1" outlineLevel="1"/>
    <col min="12" max="12" width="1.83203125" style="21" customWidth="1" outlineLevel="1"/>
    <col min="13" max="13" width="30.83203125" style="21" customWidth="1" outlineLevel="1"/>
    <col min="14" max="14" width="11.25" style="191" customWidth="1" outlineLevel="1"/>
    <col min="15" max="16" width="15.08203125" style="21" customWidth="1" outlineLevel="1"/>
    <col min="17" max="17" width="4.75" style="21" customWidth="1" outlineLevel="1"/>
    <col min="18" max="18" width="10" style="21" customWidth="1" outlineLevel="1"/>
    <col min="19" max="19" width="19.25" style="21" customWidth="1" outlineLevel="1"/>
    <col min="20" max="20" width="7.5" style="191" customWidth="1" outlineLevel="1"/>
    <col min="21" max="21" width="24.5" style="21" customWidth="1" outlineLevel="1"/>
    <col min="22" max="22" width="12" style="289" customWidth="1"/>
    <col min="23" max="23" width="9.58203125" style="21" customWidth="1"/>
    <col min="24" max="24" width="21.5" style="21" customWidth="1"/>
    <col min="25" max="26" width="10.83203125" style="23" customWidth="1"/>
    <col min="27" max="36" width="10.83203125" style="24" customWidth="1"/>
    <col min="37" max="39" width="10.83203125" style="25" customWidth="1"/>
    <col min="40" max="40" width="2.58203125" style="26" customWidth="1"/>
    <col min="41" max="41" width="10.83203125" style="25" customWidth="1"/>
    <col min="42" max="56" width="10.83203125" style="24" customWidth="1"/>
    <col min="57" max="57" width="2.58203125" style="22" customWidth="1"/>
    <col min="58" max="58" width="10.83203125" style="26" customWidth="1"/>
    <col min="59" max="59" width="2.58203125" style="22" customWidth="1"/>
    <col min="60" max="74" width="10.83203125" style="24" customWidth="1"/>
    <col min="75" max="75" width="2.58203125" style="22" customWidth="1"/>
    <col min="76" max="76" width="10.83203125" style="22" hidden="1" customWidth="1"/>
    <col min="77" max="77" width="3.33203125" style="22" hidden="1" customWidth="1"/>
    <col min="78" max="78" width="0" style="22" hidden="1" customWidth="1"/>
    <col min="79" max="90" width="0" style="21" hidden="1" customWidth="1"/>
    <col min="91" max="16384" width="9" style="21"/>
  </cols>
  <sheetData>
    <row r="1" spans="1:106" ht="15.75" customHeight="1" x14ac:dyDescent="0.55000000000000004">
      <c r="A1" s="207"/>
      <c r="B1" s="223"/>
      <c r="I1" s="214"/>
      <c r="J1" s="223"/>
      <c r="AK1" s="24"/>
      <c r="AL1" s="24"/>
      <c r="AN1" s="25"/>
      <c r="AO1" s="26"/>
      <c r="AP1" s="25"/>
      <c r="BE1" s="24"/>
      <c r="BF1" s="24"/>
      <c r="BH1" s="26"/>
      <c r="BI1" s="22"/>
      <c r="BW1" s="24"/>
      <c r="BX1" s="24"/>
      <c r="BY1" s="24"/>
      <c r="BZ1" s="24"/>
      <c r="CA1" s="24"/>
      <c r="CB1" s="24"/>
      <c r="CC1" s="22"/>
      <c r="CD1" s="24"/>
      <c r="CE1" s="24"/>
      <c r="CF1" s="24"/>
      <c r="CG1" s="24"/>
      <c r="CH1" s="24"/>
      <c r="CI1" s="22"/>
      <c r="CJ1" s="24"/>
      <c r="CK1" s="24"/>
      <c r="CL1" s="22"/>
      <c r="CM1" s="22"/>
      <c r="CN1" s="22"/>
      <c r="CO1" s="22"/>
      <c r="CP1" s="22"/>
    </row>
    <row r="2" spans="1:106" ht="26" x14ac:dyDescent="0.55000000000000004">
      <c r="A2" s="207"/>
      <c r="B2" s="223"/>
      <c r="C2" s="310" t="s">
        <v>320</v>
      </c>
      <c r="I2" s="214"/>
      <c r="J2" s="223"/>
      <c r="W2" s="310" t="s">
        <v>321</v>
      </c>
      <c r="AK2" s="24"/>
      <c r="AL2" s="24"/>
      <c r="AN2" s="25"/>
      <c r="AO2" s="26"/>
      <c r="AP2" s="25"/>
      <c r="BE2" s="24"/>
      <c r="BF2" s="24"/>
      <c r="BH2" s="26"/>
      <c r="BI2" s="22"/>
      <c r="BW2" s="24"/>
      <c r="BX2" s="24"/>
      <c r="BY2" s="24"/>
      <c r="BZ2" s="24"/>
      <c r="CA2" s="24"/>
      <c r="CB2" s="24"/>
      <c r="CC2" s="22"/>
      <c r="CD2" s="24"/>
      <c r="CE2" s="24"/>
      <c r="CF2" s="24"/>
      <c r="CG2" s="24"/>
      <c r="CH2" s="24"/>
      <c r="CI2" s="22"/>
      <c r="CJ2" s="24"/>
      <c r="CK2" s="24"/>
      <c r="CL2" s="22"/>
      <c r="CM2" s="22"/>
      <c r="CN2" s="22"/>
      <c r="CO2" s="22"/>
      <c r="CP2" s="22"/>
    </row>
    <row r="3" spans="1:106" ht="18" customHeight="1" x14ac:dyDescent="0.55000000000000004">
      <c r="A3" s="207"/>
      <c r="B3" s="223"/>
      <c r="C3" s="35" t="s">
        <v>78</v>
      </c>
      <c r="I3" s="214"/>
      <c r="J3" s="223"/>
      <c r="W3" s="310"/>
      <c r="AK3" s="24"/>
      <c r="AL3" s="24"/>
      <c r="AM3" s="24"/>
      <c r="AN3" s="24"/>
      <c r="AO3" s="24"/>
      <c r="AS3" s="25"/>
      <c r="AT3" s="25"/>
      <c r="AU3" s="26"/>
      <c r="AV3" s="25"/>
      <c r="BE3" s="24"/>
      <c r="BF3" s="24"/>
      <c r="BG3" s="24"/>
      <c r="BS3" s="22"/>
      <c r="BT3" s="26"/>
      <c r="BU3" s="22"/>
      <c r="BW3" s="24"/>
      <c r="BX3" s="24"/>
      <c r="BY3" s="24"/>
      <c r="BZ3" s="24"/>
      <c r="CA3" s="24"/>
      <c r="CB3" s="24"/>
      <c r="CC3" s="24"/>
      <c r="CD3" s="24"/>
      <c r="CE3" s="24"/>
      <c r="CF3" s="24"/>
      <c r="CG3" s="24"/>
      <c r="CH3" s="24"/>
      <c r="CI3" s="24"/>
      <c r="CJ3" s="24"/>
      <c r="CK3" s="24"/>
      <c r="CL3" s="24"/>
      <c r="CM3" s="24"/>
      <c r="CN3" s="24"/>
      <c r="CO3" s="22"/>
      <c r="CP3" s="24"/>
      <c r="CQ3" s="24"/>
      <c r="CR3" s="24"/>
      <c r="CS3" s="24"/>
      <c r="CT3" s="24"/>
      <c r="CU3" s="22"/>
      <c r="CV3" s="24"/>
      <c r="CW3" s="24"/>
      <c r="CX3" s="22"/>
      <c r="CY3" s="22"/>
      <c r="CZ3" s="22"/>
      <c r="DA3" s="22"/>
      <c r="DB3" s="22"/>
    </row>
    <row r="4" spans="1:106" ht="18" customHeight="1" x14ac:dyDescent="0.45">
      <c r="A4" s="207"/>
      <c r="B4" s="223"/>
      <c r="C4" s="419" t="s">
        <v>79</v>
      </c>
      <c r="I4" s="214"/>
      <c r="J4" s="223"/>
      <c r="W4" s="310"/>
      <c r="AK4" s="24"/>
      <c r="AL4" s="24"/>
      <c r="AM4" s="24"/>
      <c r="AN4" s="24"/>
      <c r="AO4" s="24"/>
      <c r="AS4" s="25"/>
      <c r="AT4" s="25"/>
      <c r="AU4" s="26"/>
      <c r="AV4" s="25"/>
      <c r="BE4" s="24"/>
      <c r="BF4" s="24"/>
      <c r="BG4" s="24"/>
      <c r="BS4" s="22"/>
      <c r="BT4" s="26"/>
      <c r="BU4" s="22"/>
      <c r="BW4" s="24"/>
      <c r="BX4" s="24"/>
      <c r="BY4" s="24"/>
      <c r="BZ4" s="24"/>
      <c r="CA4" s="24"/>
      <c r="CB4" s="24"/>
      <c r="CC4" s="24"/>
      <c r="CD4" s="24"/>
      <c r="CE4" s="24"/>
      <c r="CF4" s="24"/>
      <c r="CG4" s="24"/>
      <c r="CH4" s="24"/>
      <c r="CI4" s="24"/>
      <c r="CJ4" s="24"/>
      <c r="CK4" s="24"/>
      <c r="CL4" s="24"/>
      <c r="CM4" s="24"/>
      <c r="CN4" s="24"/>
      <c r="CO4" s="22"/>
      <c r="CP4" s="24"/>
      <c r="CQ4" s="24"/>
      <c r="CR4" s="24"/>
      <c r="CS4" s="24"/>
      <c r="CT4" s="24"/>
      <c r="CU4" s="22"/>
      <c r="CV4" s="24"/>
      <c r="CW4" s="24"/>
      <c r="CX4" s="22"/>
      <c r="CY4" s="22"/>
      <c r="CZ4" s="22"/>
      <c r="DA4" s="22"/>
      <c r="DB4" s="22"/>
    </row>
    <row r="5" spans="1:106" ht="18" customHeight="1" x14ac:dyDescent="0.45">
      <c r="A5" s="207"/>
      <c r="B5" s="223"/>
      <c r="C5" s="382" t="s">
        <v>80</v>
      </c>
      <c r="I5" s="214"/>
      <c r="J5" s="223"/>
      <c r="W5" s="310"/>
      <c r="AK5" s="24"/>
      <c r="AL5" s="24"/>
      <c r="AM5" s="24"/>
      <c r="AN5" s="24"/>
      <c r="AO5" s="24"/>
      <c r="AS5" s="25"/>
      <c r="AT5" s="25"/>
      <c r="AU5" s="26"/>
      <c r="AV5" s="25"/>
      <c r="BE5" s="24"/>
      <c r="BF5" s="24"/>
      <c r="BG5" s="24"/>
      <c r="BS5" s="22"/>
      <c r="BT5" s="26"/>
      <c r="BU5" s="22"/>
      <c r="BW5" s="24"/>
      <c r="BX5" s="24"/>
      <c r="BY5" s="24"/>
      <c r="BZ5" s="24"/>
      <c r="CA5" s="24"/>
      <c r="CB5" s="24"/>
      <c r="CC5" s="24"/>
      <c r="CD5" s="24"/>
      <c r="CE5" s="24"/>
      <c r="CF5" s="24"/>
      <c r="CG5" s="24"/>
      <c r="CH5" s="24"/>
      <c r="CI5" s="24"/>
      <c r="CJ5" s="24"/>
      <c r="CK5" s="24"/>
      <c r="CL5" s="24"/>
      <c r="CM5" s="24"/>
      <c r="CN5" s="24"/>
      <c r="CO5" s="22"/>
      <c r="CP5" s="24"/>
      <c r="CQ5" s="24"/>
      <c r="CR5" s="24"/>
      <c r="CS5" s="24"/>
      <c r="CT5" s="24"/>
      <c r="CU5" s="22"/>
      <c r="CV5" s="24"/>
      <c r="CW5" s="24"/>
      <c r="CX5" s="22"/>
      <c r="CY5" s="22"/>
      <c r="CZ5" s="22"/>
      <c r="DA5" s="22"/>
      <c r="DB5" s="22"/>
    </row>
    <row r="6" spans="1:106" ht="18" customHeight="1" x14ac:dyDescent="0.45">
      <c r="A6" s="207"/>
      <c r="B6" s="223"/>
      <c r="C6" s="420" t="s">
        <v>81</v>
      </c>
      <c r="I6" s="214"/>
      <c r="J6" s="223"/>
      <c r="W6" s="310"/>
      <c r="AK6" s="24"/>
      <c r="AL6" s="24"/>
      <c r="AM6" s="24"/>
      <c r="AN6" s="24"/>
      <c r="AO6" s="24"/>
      <c r="AS6" s="25"/>
      <c r="AT6" s="25"/>
      <c r="AU6" s="26"/>
      <c r="AV6" s="25"/>
      <c r="BE6" s="24"/>
      <c r="BF6" s="24"/>
      <c r="BG6" s="24"/>
      <c r="BS6" s="22"/>
      <c r="BT6" s="26"/>
      <c r="BU6" s="22"/>
      <c r="BW6" s="24"/>
      <c r="BX6" s="24"/>
      <c r="BY6" s="24"/>
      <c r="BZ6" s="24"/>
      <c r="CA6" s="24"/>
      <c r="CB6" s="24"/>
      <c r="CC6" s="24"/>
      <c r="CD6" s="24"/>
      <c r="CE6" s="24"/>
      <c r="CF6" s="24"/>
      <c r="CG6" s="24"/>
      <c r="CH6" s="24"/>
      <c r="CI6" s="24"/>
      <c r="CJ6" s="24"/>
      <c r="CK6" s="24"/>
      <c r="CL6" s="24"/>
      <c r="CM6" s="24"/>
      <c r="CN6" s="24"/>
      <c r="CO6" s="22"/>
      <c r="CP6" s="24"/>
      <c r="CQ6" s="24"/>
      <c r="CR6" s="24"/>
      <c r="CS6" s="24"/>
      <c r="CT6" s="24"/>
      <c r="CU6" s="22"/>
      <c r="CV6" s="24"/>
      <c r="CW6" s="24"/>
      <c r="CX6" s="22"/>
      <c r="CY6" s="22"/>
      <c r="CZ6" s="22"/>
      <c r="DA6" s="22"/>
      <c r="DB6" s="22"/>
    </row>
    <row r="7" spans="1:106" ht="15.75" customHeight="1" x14ac:dyDescent="0.55000000000000004"/>
    <row r="8" spans="1:106" s="35" customFormat="1" ht="15.75" customHeight="1" x14ac:dyDescent="0.55000000000000004">
      <c r="A8" s="27" t="s">
        <v>82</v>
      </c>
      <c r="B8" s="27"/>
      <c r="C8" s="27"/>
      <c r="D8" s="195"/>
      <c r="E8" s="27"/>
      <c r="F8" s="27"/>
      <c r="G8" s="27"/>
      <c r="H8" s="27"/>
      <c r="I8" s="336"/>
      <c r="J8" s="186" t="s">
        <v>83</v>
      </c>
      <c r="K8" s="28"/>
      <c r="L8" s="28"/>
      <c r="M8" s="28"/>
      <c r="N8" s="192"/>
      <c r="O8" s="28"/>
      <c r="P8" s="28"/>
      <c r="Q8" s="28"/>
      <c r="R8" s="28"/>
      <c r="S8" s="28"/>
      <c r="T8" s="192"/>
      <c r="U8" s="28"/>
      <c r="V8" s="290" t="s">
        <v>84</v>
      </c>
      <c r="W8" s="29"/>
      <c r="X8" s="29"/>
      <c r="Y8" s="30"/>
      <c r="Z8" s="30"/>
      <c r="AA8" s="31"/>
      <c r="AB8" s="31"/>
      <c r="AC8" s="31"/>
      <c r="AD8" s="31"/>
      <c r="AE8" s="31"/>
      <c r="AF8" s="31"/>
      <c r="AG8" s="31"/>
      <c r="AH8" s="31"/>
      <c r="AI8" s="31"/>
      <c r="AJ8" s="31"/>
      <c r="AK8" s="32"/>
      <c r="AL8" s="32"/>
      <c r="AM8" s="32"/>
      <c r="AN8" s="33"/>
      <c r="AO8" s="32"/>
      <c r="AP8" s="31"/>
      <c r="AQ8" s="31"/>
      <c r="AR8" s="31"/>
      <c r="AS8" s="31"/>
      <c r="AT8" s="31"/>
      <c r="AU8" s="31"/>
      <c r="AV8" s="31"/>
      <c r="AW8" s="31"/>
      <c r="AX8" s="31"/>
      <c r="AY8" s="31"/>
      <c r="AZ8" s="31"/>
      <c r="BA8" s="31"/>
      <c r="BB8" s="31"/>
      <c r="BC8" s="31"/>
      <c r="BD8" s="31"/>
      <c r="BE8" s="34"/>
      <c r="BF8" s="33"/>
      <c r="BG8" s="34"/>
      <c r="BH8" s="31"/>
      <c r="BI8" s="31"/>
      <c r="BJ8" s="31"/>
      <c r="BK8" s="31"/>
      <c r="BL8" s="31"/>
      <c r="BM8" s="31"/>
      <c r="BN8" s="31"/>
      <c r="BO8" s="31"/>
      <c r="BP8" s="31"/>
      <c r="BQ8" s="31"/>
      <c r="BR8" s="31"/>
      <c r="BS8" s="31"/>
      <c r="BT8" s="31"/>
      <c r="BU8" s="31"/>
      <c r="BV8" s="31"/>
      <c r="BW8" s="34"/>
      <c r="BX8" s="34"/>
      <c r="BY8" s="34"/>
      <c r="BZ8" s="34"/>
    </row>
    <row r="9" spans="1:106" s="35" customFormat="1" ht="15.75" customHeight="1" x14ac:dyDescent="0.55000000000000004">
      <c r="A9" s="36"/>
      <c r="B9" s="36"/>
      <c r="C9" s="344" t="s">
        <v>85</v>
      </c>
      <c r="D9" s="196"/>
      <c r="E9" s="36"/>
      <c r="F9" s="36"/>
      <c r="G9" s="36"/>
      <c r="H9" s="36"/>
      <c r="I9" s="330"/>
      <c r="J9" s="21"/>
      <c r="N9" s="193"/>
      <c r="T9" s="193"/>
      <c r="V9" s="291"/>
      <c r="Y9" s="38"/>
      <c r="Z9" s="38"/>
      <c r="AA9" s="39"/>
      <c r="AB9" s="39"/>
      <c r="AC9" s="39"/>
      <c r="AD9" s="39"/>
      <c r="AE9" s="39"/>
      <c r="AF9" s="39"/>
      <c r="AG9" s="39"/>
      <c r="AH9" s="39"/>
      <c r="AI9" s="39"/>
      <c r="AJ9" s="39"/>
      <c r="AK9" s="40"/>
      <c r="AL9" s="40"/>
      <c r="AM9" s="40"/>
      <c r="AN9" s="41"/>
      <c r="AO9" s="40"/>
      <c r="AP9" s="39"/>
      <c r="AQ9" s="39"/>
      <c r="AR9" s="39"/>
      <c r="AS9" s="39"/>
      <c r="AT9" s="39"/>
      <c r="AU9" s="39"/>
      <c r="AV9" s="39"/>
      <c r="AW9" s="39"/>
      <c r="AX9" s="39"/>
      <c r="AY9" s="39"/>
      <c r="AZ9" s="39"/>
      <c r="BA9" s="39"/>
      <c r="BB9" s="39"/>
      <c r="BC9" s="39"/>
      <c r="BD9" s="39"/>
      <c r="BE9" s="37"/>
      <c r="BF9" s="41"/>
      <c r="BG9" s="37"/>
      <c r="BH9" s="39"/>
      <c r="BI9" s="39"/>
      <c r="BJ9" s="39"/>
      <c r="BK9" s="39"/>
      <c r="BL9" s="39"/>
      <c r="BM9" s="39"/>
      <c r="BN9" s="39"/>
      <c r="BO9" s="39"/>
      <c r="BP9" s="39"/>
      <c r="BQ9" s="39"/>
      <c r="BR9" s="39"/>
      <c r="BS9" s="39"/>
      <c r="BT9" s="39"/>
      <c r="BU9" s="39"/>
      <c r="BV9" s="39"/>
      <c r="BW9" s="37"/>
      <c r="BX9" s="37"/>
      <c r="BY9" s="37"/>
      <c r="BZ9" s="37"/>
    </row>
    <row r="10" spans="1:106" ht="15.75" customHeight="1" thickBot="1" x14ac:dyDescent="0.6">
      <c r="W10" s="439" t="s">
        <v>48</v>
      </c>
      <c r="X10" s="439"/>
      <c r="Y10" s="440"/>
      <c r="AC10" s="45" t="s">
        <v>86</v>
      </c>
    </row>
    <row r="11" spans="1:106" ht="15.75" customHeight="1" x14ac:dyDescent="0.55000000000000004">
      <c r="A11" s="207"/>
      <c r="B11" s="223"/>
      <c r="C11" s="35"/>
      <c r="D11" s="232" t="s">
        <v>87</v>
      </c>
      <c r="E11" s="35" t="s">
        <v>55</v>
      </c>
      <c r="F11" s="35" t="s">
        <v>88</v>
      </c>
      <c r="G11" s="35" t="s">
        <v>89</v>
      </c>
      <c r="H11" s="35"/>
      <c r="I11" s="214"/>
      <c r="J11" s="223"/>
      <c r="K11" s="37"/>
      <c r="L11" s="37"/>
      <c r="M11" s="37"/>
      <c r="N11" s="232" t="s">
        <v>87</v>
      </c>
      <c r="O11" s="35" t="s">
        <v>55</v>
      </c>
      <c r="P11" s="35" t="s">
        <v>88</v>
      </c>
      <c r="Q11" s="35" t="s">
        <v>89</v>
      </c>
      <c r="R11" s="22"/>
      <c r="S11" s="22"/>
      <c r="U11" s="22"/>
      <c r="W11" s="46" t="s">
        <v>48</v>
      </c>
      <c r="X11" s="200" t="s">
        <v>90</v>
      </c>
      <c r="Y11" s="47" t="s">
        <v>25</v>
      </c>
      <c r="AC11" s="48" t="s">
        <v>52</v>
      </c>
      <c r="BQ11" s="39"/>
      <c r="BR11" s="39"/>
      <c r="BS11" s="39"/>
      <c r="BT11" s="39"/>
    </row>
    <row r="12" spans="1:106" ht="15.75" customHeight="1" thickBot="1" x14ac:dyDescent="0.6">
      <c r="A12" s="210" t="s">
        <v>91</v>
      </c>
      <c r="B12" s="225"/>
      <c r="C12" s="202"/>
      <c r="D12" s="203"/>
      <c r="E12" s="202"/>
      <c r="F12" s="202"/>
      <c r="G12" s="202"/>
      <c r="H12" s="202"/>
      <c r="I12" s="217" t="s">
        <v>91</v>
      </c>
      <c r="J12" s="225"/>
      <c r="K12" s="202"/>
      <c r="L12" s="202"/>
      <c r="M12" s="202"/>
      <c r="N12" s="203"/>
      <c r="O12" s="202"/>
      <c r="P12" s="202"/>
      <c r="Q12" s="202"/>
      <c r="R12" s="202"/>
      <c r="S12" s="202"/>
      <c r="T12" s="203"/>
      <c r="U12" s="202"/>
      <c r="W12" s="49">
        <f>AL49-BC49</f>
        <v>0</v>
      </c>
      <c r="X12" s="50">
        <f>AM49-BD49</f>
        <v>0</v>
      </c>
      <c r="Y12" s="51">
        <f>X12/AM49</f>
        <v>0</v>
      </c>
      <c r="AC12" s="348" t="str">
        <f>IFERROR(XIRR(BV18:BV47,V18:V47),"N/A")</f>
        <v>N/A</v>
      </c>
      <c r="BQ12" s="39"/>
      <c r="BR12" s="39"/>
      <c r="BS12" s="39"/>
      <c r="BT12" s="39"/>
    </row>
    <row r="13" spans="1:106" ht="15.75" customHeight="1" x14ac:dyDescent="0.55000000000000004"/>
    <row r="14" spans="1:106" ht="15.75" customHeight="1" x14ac:dyDescent="0.45">
      <c r="B14" s="223" t="s">
        <v>93</v>
      </c>
      <c r="D14" s="191" t="s">
        <v>102</v>
      </c>
      <c r="F14" s="149" t="s">
        <v>94</v>
      </c>
      <c r="J14" s="223" t="s">
        <v>93</v>
      </c>
      <c r="O14" s="21" t="s">
        <v>95</v>
      </c>
      <c r="P14" s="21" t="s">
        <v>96</v>
      </c>
      <c r="Q14" s="21" t="s">
        <v>94</v>
      </c>
      <c r="Y14" s="53" t="s">
        <v>55</v>
      </c>
      <c r="Z14" s="54"/>
      <c r="AA14" s="54"/>
      <c r="AB14" s="54"/>
      <c r="AC14" s="54"/>
      <c r="AD14" s="54"/>
      <c r="AE14" s="54"/>
      <c r="AF14" s="54"/>
      <c r="AG14" s="54"/>
      <c r="AH14" s="54"/>
      <c r="AI14" s="54"/>
      <c r="AJ14" s="55"/>
      <c r="AK14" s="56" t="s">
        <v>97</v>
      </c>
      <c r="AL14" s="57"/>
      <c r="AM14" s="58"/>
      <c r="AN14" s="39"/>
      <c r="AO14" s="59" t="s">
        <v>98</v>
      </c>
      <c r="AP14" s="60"/>
      <c r="AQ14" s="60"/>
      <c r="AR14" s="60"/>
      <c r="AS14" s="60"/>
      <c r="AT14" s="60"/>
      <c r="AU14" s="60"/>
      <c r="AV14" s="60"/>
      <c r="AW14" s="60"/>
      <c r="AX14" s="60"/>
      <c r="AY14" s="60"/>
      <c r="AZ14" s="60"/>
      <c r="BA14" s="60"/>
      <c r="BB14" s="60"/>
      <c r="BC14" s="61"/>
      <c r="BD14" s="61" t="s">
        <v>50</v>
      </c>
      <c r="BE14" s="24"/>
      <c r="BF14" s="22"/>
      <c r="BH14" s="62" t="s">
        <v>99</v>
      </c>
      <c r="BI14" s="63"/>
      <c r="BJ14" s="63"/>
      <c r="BK14" s="63"/>
      <c r="BL14" s="63"/>
      <c r="BM14" s="63"/>
      <c r="BN14" s="63"/>
      <c r="BO14" s="63"/>
      <c r="BP14" s="63"/>
      <c r="BQ14" s="63"/>
      <c r="BR14" s="63"/>
      <c r="BS14" s="63"/>
      <c r="BT14" s="63"/>
      <c r="BU14" s="63"/>
      <c r="BV14" s="64"/>
      <c r="BX14" s="65" t="s">
        <v>100</v>
      </c>
    </row>
    <row r="15" spans="1:106" ht="15.75" customHeight="1" x14ac:dyDescent="0.45">
      <c r="B15" s="223" t="s">
        <v>101</v>
      </c>
      <c r="D15" s="191" t="s">
        <v>102</v>
      </c>
      <c r="F15" s="149" t="s">
        <v>322</v>
      </c>
      <c r="J15" s="223"/>
      <c r="Y15" s="53" t="s">
        <v>104</v>
      </c>
      <c r="Z15" s="54"/>
      <c r="AA15" s="54"/>
      <c r="AB15" s="54"/>
      <c r="AC15" s="66"/>
      <c r="AD15" s="53" t="s">
        <v>105</v>
      </c>
      <c r="AE15" s="54"/>
      <c r="AF15" s="54"/>
      <c r="AG15" s="54"/>
      <c r="AH15" s="54"/>
      <c r="AI15" s="67"/>
      <c r="AJ15" s="353" t="s">
        <v>50</v>
      </c>
      <c r="AK15" s="58"/>
      <c r="AL15" s="68"/>
      <c r="AM15" s="69" t="s">
        <v>50</v>
      </c>
      <c r="AN15" s="39"/>
      <c r="AO15" s="59" t="s">
        <v>104</v>
      </c>
      <c r="AP15" s="60"/>
      <c r="AQ15" s="60"/>
      <c r="AR15" s="60"/>
      <c r="AS15" s="70"/>
      <c r="AT15" s="60" t="s">
        <v>105</v>
      </c>
      <c r="AU15" s="60"/>
      <c r="AV15" s="60"/>
      <c r="AW15" s="60"/>
      <c r="AX15" s="60"/>
      <c r="AY15" s="60"/>
      <c r="AZ15" s="60"/>
      <c r="BA15" s="60"/>
      <c r="BB15" s="70"/>
      <c r="BC15" s="71" t="s">
        <v>50</v>
      </c>
      <c r="BD15" s="71" t="s">
        <v>106</v>
      </c>
      <c r="BE15" s="24"/>
      <c r="BF15" s="22"/>
      <c r="BH15" s="62" t="s">
        <v>104</v>
      </c>
      <c r="BI15" s="63"/>
      <c r="BJ15" s="63"/>
      <c r="BK15" s="63"/>
      <c r="BL15" s="63"/>
      <c r="BM15" s="63"/>
      <c r="BN15" s="72"/>
      <c r="BO15" s="62" t="s">
        <v>105</v>
      </c>
      <c r="BP15" s="63"/>
      <c r="BQ15" s="63"/>
      <c r="BR15" s="63"/>
      <c r="BS15" s="63"/>
      <c r="BT15" s="63"/>
      <c r="BU15" s="63"/>
      <c r="BV15" s="74"/>
      <c r="BX15" s="74"/>
    </row>
    <row r="16" spans="1:106" ht="49.5" x14ac:dyDescent="0.45">
      <c r="B16" s="223"/>
      <c r="J16" s="223"/>
      <c r="V16" s="500" t="s">
        <v>108</v>
      </c>
      <c r="W16" s="501" t="s">
        <v>109</v>
      </c>
      <c r="X16" s="501" t="s">
        <v>13</v>
      </c>
      <c r="Y16" s="75" t="s">
        <v>110</v>
      </c>
      <c r="Z16" s="76" t="s">
        <v>111</v>
      </c>
      <c r="AA16" s="76" t="s">
        <v>112</v>
      </c>
      <c r="AB16" s="76" t="s">
        <v>113</v>
      </c>
      <c r="AC16" s="77" t="s">
        <v>114</v>
      </c>
      <c r="AD16" s="75" t="s">
        <v>115</v>
      </c>
      <c r="AE16" s="76" t="s">
        <v>116</v>
      </c>
      <c r="AF16" s="76" t="s">
        <v>117</v>
      </c>
      <c r="AG16" s="76" t="s">
        <v>118</v>
      </c>
      <c r="AH16" s="76" t="s">
        <v>119</v>
      </c>
      <c r="AI16" s="78" t="s">
        <v>120</v>
      </c>
      <c r="AJ16" s="79"/>
      <c r="AK16" s="356" t="s">
        <v>121</v>
      </c>
      <c r="AL16" s="78" t="s">
        <v>68</v>
      </c>
      <c r="AM16" s="80" t="s">
        <v>106</v>
      </c>
      <c r="AN16" s="39"/>
      <c r="AO16" s="81" t="s">
        <v>110</v>
      </c>
      <c r="AP16" s="82" t="s">
        <v>111</v>
      </c>
      <c r="AQ16" s="82" t="s">
        <v>112</v>
      </c>
      <c r="AR16" s="82" t="s">
        <v>122</v>
      </c>
      <c r="AS16" s="83" t="s">
        <v>114</v>
      </c>
      <c r="AT16" s="82" t="s">
        <v>123</v>
      </c>
      <c r="AU16" s="82" t="s">
        <v>124</v>
      </c>
      <c r="AV16" s="82" t="s">
        <v>125</v>
      </c>
      <c r="AW16" s="82" t="s">
        <v>126</v>
      </c>
      <c r="AX16" s="82" t="s">
        <v>127</v>
      </c>
      <c r="AY16" s="82" t="s">
        <v>128</v>
      </c>
      <c r="AZ16" s="82" t="s">
        <v>118</v>
      </c>
      <c r="BA16" s="82" t="s">
        <v>119</v>
      </c>
      <c r="BB16" s="83" t="s">
        <v>120</v>
      </c>
      <c r="BC16" s="84"/>
      <c r="BD16" s="83"/>
      <c r="BE16" s="24"/>
      <c r="BF16" s="85" t="s">
        <v>129</v>
      </c>
      <c r="BG16" s="24"/>
      <c r="BH16" s="86" t="s">
        <v>130</v>
      </c>
      <c r="BI16" s="87" t="s">
        <v>124</v>
      </c>
      <c r="BJ16" s="87" t="s">
        <v>125</v>
      </c>
      <c r="BK16" s="87" t="s">
        <v>126</v>
      </c>
      <c r="BL16" s="87" t="s">
        <v>128</v>
      </c>
      <c r="BM16" s="87" t="s">
        <v>113</v>
      </c>
      <c r="BN16" s="88" t="s">
        <v>114</v>
      </c>
      <c r="BO16" s="87" t="s">
        <v>131</v>
      </c>
      <c r="BP16" s="87" t="s">
        <v>132</v>
      </c>
      <c r="BQ16" s="87" t="s">
        <v>133</v>
      </c>
      <c r="BR16" s="87" t="s">
        <v>134</v>
      </c>
      <c r="BS16" s="87" t="s">
        <v>135</v>
      </c>
      <c r="BT16" s="87" t="s">
        <v>136</v>
      </c>
      <c r="BU16" s="87" t="s">
        <v>120</v>
      </c>
      <c r="BV16" s="89" t="s">
        <v>137</v>
      </c>
      <c r="BX16" s="89"/>
      <c r="BZ16" s="21"/>
    </row>
    <row r="17" spans="1:78" ht="15.75" customHeight="1" x14ac:dyDescent="0.55000000000000004">
      <c r="B17" s="223" t="s">
        <v>138</v>
      </c>
      <c r="D17" s="21"/>
      <c r="J17" s="223" t="s">
        <v>139</v>
      </c>
      <c r="N17" s="21"/>
      <c r="V17" s="293"/>
      <c r="W17" s="301">
        <v>0</v>
      </c>
      <c r="X17" s="302" t="s">
        <v>140</v>
      </c>
      <c r="Y17" s="93"/>
      <c r="Z17" s="94"/>
      <c r="AA17" s="94"/>
      <c r="AB17" s="94"/>
      <c r="AC17" s="94"/>
      <c r="AD17" s="94"/>
      <c r="AE17" s="94"/>
      <c r="AF17" s="94"/>
      <c r="AG17" s="94"/>
      <c r="AH17" s="94"/>
      <c r="AI17" s="94"/>
      <c r="AJ17" s="94"/>
      <c r="AK17" s="94"/>
      <c r="AL17" s="96">
        <f>-SUM(O142,SUM(O136:O138))</f>
        <v>0</v>
      </c>
      <c r="AM17" s="97">
        <f>AL17*BF17</f>
        <v>0</v>
      </c>
      <c r="AN17" s="98"/>
      <c r="AO17" s="99"/>
      <c r="AP17" s="94"/>
      <c r="AQ17" s="94"/>
      <c r="AR17" s="94"/>
      <c r="AS17" s="94"/>
      <c r="AT17" s="94"/>
      <c r="AU17" s="94"/>
      <c r="AV17" s="94"/>
      <c r="AW17" s="94"/>
      <c r="AX17" s="360"/>
      <c r="AY17" s="94"/>
      <c r="AZ17" s="94"/>
      <c r="BA17" s="94"/>
      <c r="BB17" s="94"/>
      <c r="BC17" s="94"/>
      <c r="BD17" s="100"/>
      <c r="BE17" s="26"/>
      <c r="BF17" s="180">
        <v>1</v>
      </c>
      <c r="BH17" s="101"/>
      <c r="BI17" s="102"/>
      <c r="BJ17" s="102"/>
      <c r="BK17" s="102"/>
      <c r="BL17" s="102"/>
      <c r="BM17" s="102"/>
      <c r="BN17" s="102"/>
      <c r="BO17" s="102"/>
      <c r="BP17" s="102"/>
      <c r="BQ17" s="102"/>
      <c r="BR17" s="102"/>
      <c r="BS17" s="102"/>
      <c r="BT17" s="102"/>
      <c r="BU17" s="102"/>
      <c r="BV17" s="239"/>
      <c r="BW17" s="98"/>
      <c r="BX17" s="103"/>
      <c r="BZ17" s="21"/>
    </row>
    <row r="18" spans="1:78" ht="15.75" customHeight="1" x14ac:dyDescent="0.45">
      <c r="C18" s="21" t="s">
        <v>15</v>
      </c>
      <c r="D18" s="191" t="s">
        <v>14</v>
      </c>
      <c r="F18" s="327">
        <v>0</v>
      </c>
      <c r="N18" s="191" t="s">
        <v>14</v>
      </c>
      <c r="O18" s="91">
        <f>SUM(F18:F19)</f>
        <v>20</v>
      </c>
      <c r="V18" s="294">
        <f>IF(W18=1,DATE(YEAR($F$20)+(MONTH($F$20)&gt;=4),4,0),EOMONTH(V17,12))</f>
        <v>46477</v>
      </c>
      <c r="W18" s="366">
        <f>W17+1</f>
        <v>1</v>
      </c>
      <c r="X18" s="366" t="str">
        <f>IF(W18&lt;=$F$18,$C$18,IF(W18&gt;SUM($F$18:$F$19),"-",$C$19))</f>
        <v>維持管理・運営期間</v>
      </c>
      <c r="Y18" s="106">
        <f t="shared" ref="Y18:Y47" si="0">IF($W18=$F$18,$O$78,0)</f>
        <v>0</v>
      </c>
      <c r="Z18" s="107">
        <f t="shared" ref="Z18:Z47" si="1">IF($W18=$F$18,$O$80,0)</f>
        <v>0</v>
      </c>
      <c r="AA18" s="107">
        <f t="shared" ref="AA18:AA47" si="2">IF($W18=$F$18,$O$79,0)</f>
        <v>0</v>
      </c>
      <c r="AB18" s="107">
        <f t="shared" ref="AB18:AB47" si="3">IF($X18="維持管理・運営期間",$F$72,0)</f>
        <v>0</v>
      </c>
      <c r="AC18" s="108">
        <f>SUM(Y18:AB18)</f>
        <v>0</v>
      </c>
      <c r="AD18" s="106">
        <f t="shared" ref="AD18:AD47" si="4">IF($W18=$F$18,$O$33,0)</f>
        <v>0</v>
      </c>
      <c r="AE18" s="107">
        <f t="shared" ref="AE18:AE47" si="5">IF($X18="維持管理・運営期間",$O$46,0)</f>
        <v>47.5</v>
      </c>
      <c r="AF18" s="107">
        <f>IF($X18=$C$18, $E$52, 0)+IF($X18=$C$19, $E$53, 0)</f>
        <v>10</v>
      </c>
      <c r="AG18" s="368">
        <f>IF(AND($W18&gt;$O$83, SUM($AA$17:AA17)&gt;0,SUM($AG$17:AG17)&lt;$O$79),$O$82,0)</f>
        <v>0</v>
      </c>
      <c r="AH18" s="107">
        <f>IF(SUM($AA17:$AA$18)&gt;0,($O$79-SUM($AG17:$AG$18))*$F$88,0)</f>
        <v>0</v>
      </c>
      <c r="AI18" s="108">
        <f>SUM(AD18:AH18)</f>
        <v>57.5</v>
      </c>
      <c r="AJ18" s="107">
        <f t="shared" ref="AJ18:AJ47" si="6">AC18-AI18</f>
        <v>-57.5</v>
      </c>
      <c r="AK18" s="115">
        <f>-MIN(0, AH18-BQ18)</f>
        <v>0</v>
      </c>
      <c r="AL18" s="109"/>
      <c r="AM18" s="108">
        <f t="shared" ref="AM18:AM47" si="7">AJ18*$BF18</f>
        <v>-55.403850712156284</v>
      </c>
      <c r="AN18" s="110"/>
      <c r="AO18" s="106">
        <f t="shared" ref="AO18:AO47" si="8">IF($W18=$F$18,$P$78,0)</f>
        <v>0</v>
      </c>
      <c r="AP18" s="107">
        <f t="shared" ref="AP18:AP47" si="9">IF($W18=$F$18,$P$80,0)</f>
        <v>0</v>
      </c>
      <c r="AQ18" s="107">
        <f t="shared" ref="AQ18:AQ47" si="10">IF($W18=$F$18,$P$79,0)</f>
        <v>0</v>
      </c>
      <c r="AR18" s="107">
        <f t="shared" ref="AR18:AR47" si="11">IF($W18="-",0,IF($W18&lt;=$F$18,$P$129,IF($W18=$F$18+1,$P$130,$P$131)))</f>
        <v>0</v>
      </c>
      <c r="AS18" s="108">
        <f>SUM(AO18:AR18)</f>
        <v>0</v>
      </c>
      <c r="AT18" s="107">
        <f t="shared" ref="AT18:AT47" si="12">IF(W18=$F$18,$P$33,0)</f>
        <v>0</v>
      </c>
      <c r="AU18" s="107">
        <f t="shared" ref="AU18:AU47" si="13">IFERROR(-PPMT($P$40,W18-$F$18,$F$19,SUM(P$34,P$59)),0)</f>
        <v>0</v>
      </c>
      <c r="AV18" s="107">
        <f t="shared" ref="AV18:AV47" si="14">IFERROR(-IPMT($P$40,W18-$F$18,$F$19,SUM($P$34,$P$59)),0)</f>
        <v>0</v>
      </c>
      <c r="AW18" s="107">
        <f t="shared" ref="AW18:AW47" si="15">IF(AND(W18&gt;$F$18,W18&lt;=SUM($F$18:$F$19)),$P$48,0)</f>
        <v>47.5</v>
      </c>
      <c r="AX18" s="368">
        <f>IF($X18=$C$18, $F$52, 0)+IF($X18=$C$19, $F$53, 0)</f>
        <v>10</v>
      </c>
      <c r="AY18" s="107">
        <f t="shared" ref="AY18:AY47" si="16">IF(AND(W18&gt;$F$18,W18&lt;=SUM($F$18:$F$19)),$P$62,0)</f>
        <v>0</v>
      </c>
      <c r="AZ18" s="368">
        <f>IF(AND($W18&gt;$P$83, SUM($AQ$17:AQ17)&gt;0,SUM($AZ$17:AZ17)&lt;$P$79),$P$82,0)</f>
        <v>0</v>
      </c>
      <c r="BA18" s="107">
        <f>IF(SUM($AQ17:$AQ$18)&gt;0,($P$79-SUM($AZ17:$AZ$18))*$F$88,0)</f>
        <v>0</v>
      </c>
      <c r="BB18" s="108">
        <f>SUM(AT18:BA18)</f>
        <v>57.5</v>
      </c>
      <c r="BC18" s="107">
        <f>AS18-BB18</f>
        <v>-57.5</v>
      </c>
      <c r="BD18" s="108">
        <f t="shared" ref="BD18:BD47" si="17">BC18*$BF18</f>
        <v>-55.403850712156284</v>
      </c>
      <c r="BE18" s="111"/>
      <c r="BF18" s="180">
        <f>1/(1+$O$25)</f>
        <v>0.96354522977663104</v>
      </c>
      <c r="BH18" s="112">
        <f>AT18</f>
        <v>0</v>
      </c>
      <c r="BI18" s="112">
        <f>AU18</f>
        <v>0</v>
      </c>
      <c r="BJ18" s="113">
        <f>AV18</f>
        <v>0</v>
      </c>
      <c r="BK18" s="113">
        <f>AW18</f>
        <v>47.5</v>
      </c>
      <c r="BL18" s="113">
        <f>AY18</f>
        <v>0</v>
      </c>
      <c r="BM18" s="107">
        <f t="shared" ref="BM18:BM47" si="18">IF($X18="維持管理・運営期間",$F$72,0)</f>
        <v>0</v>
      </c>
      <c r="BN18" s="114">
        <f t="shared" ref="BN18:BN23" si="19">SUM(BH18:BM18)</f>
        <v>47.5</v>
      </c>
      <c r="BO18" s="113">
        <f t="shared" ref="BO18:BO47" si="20">IF($W18=$F$18,$P$35,0)</f>
        <v>0</v>
      </c>
      <c r="BP18" s="113">
        <f t="shared" ref="BP18:BP47" si="21">IF(AND(W18&gt;$F$18,W18&lt;=SUM($F$18:$F$19)),$P$46,0)</f>
        <v>47.5</v>
      </c>
      <c r="BQ18" s="113">
        <f t="shared" ref="BQ18:BQ47" si="22">IFERROR(-IPMT($P$87,W18-$F$18,$F$19,$P$34),0)</f>
        <v>0</v>
      </c>
      <c r="BR18" s="113">
        <f t="shared" ref="BR18:BR47" si="23">IF($W18&lt;=$O$18,$F$137,0)</f>
        <v>0</v>
      </c>
      <c r="BS18" s="113">
        <f t="shared" ref="BS18:BS47" si="24">IF($W18=1,$O$136,0)</f>
        <v>0</v>
      </c>
      <c r="BT18" s="107">
        <f>IF($X18="-",0,IF($W18&lt;=$F$18,$P$105,IF($W18=$F$18+1,$P$106,$P$107)))</f>
        <v>0</v>
      </c>
      <c r="BU18" s="114">
        <f>SUM(BO18:BT18)</f>
        <v>47.5</v>
      </c>
      <c r="BV18" s="114">
        <f t="shared" ref="BV18:BV47" si="25">BN18-BU18</f>
        <v>0</v>
      </c>
      <c r="BW18" s="98"/>
      <c r="BX18" s="115">
        <f t="shared" ref="BX18:BX47" si="26">IFERROR(-PPMT($P$87,$W18-$F$18,$F$19,$P$34),0)</f>
        <v>0</v>
      </c>
      <c r="BZ18" s="21"/>
    </row>
    <row r="19" spans="1:78" ht="15.75" customHeight="1" x14ac:dyDescent="0.45">
      <c r="C19" s="21" t="s">
        <v>141</v>
      </c>
      <c r="D19" s="191" t="s">
        <v>14</v>
      </c>
      <c r="F19" s="150">
        <v>20</v>
      </c>
      <c r="J19" s="120"/>
      <c r="V19" s="294">
        <f t="shared" ref="V19:V47" si="27">IF(W19=1,DATE(YEAR($F$20)+(MONTH($F$20)&gt;=4),4,0),EOMONTH(V18,12))</f>
        <v>46843</v>
      </c>
      <c r="W19" s="366">
        <f t="shared" ref="W19:W47" si="28">W18+1</f>
        <v>2</v>
      </c>
      <c r="X19" s="366" t="str">
        <f t="shared" ref="X19:X47" si="29">IF(W19&lt;=$F$18,$C$18,IF(W19&gt;SUM($F$18:$F$19),"-",$C$19))</f>
        <v>維持管理・運営期間</v>
      </c>
      <c r="Y19" s="106">
        <f t="shared" si="0"/>
        <v>0</v>
      </c>
      <c r="Z19" s="107">
        <f t="shared" si="1"/>
        <v>0</v>
      </c>
      <c r="AA19" s="107">
        <f t="shared" si="2"/>
        <v>0</v>
      </c>
      <c r="AB19" s="107">
        <f t="shared" si="3"/>
        <v>0</v>
      </c>
      <c r="AC19" s="108">
        <f t="shared" ref="AC19:AC23" si="30">SUM(Y19:AB19)</f>
        <v>0</v>
      </c>
      <c r="AD19" s="106">
        <f t="shared" si="4"/>
        <v>0</v>
      </c>
      <c r="AE19" s="107">
        <f t="shared" si="5"/>
        <v>47.5</v>
      </c>
      <c r="AF19" s="107">
        <f t="shared" ref="AF19:AF47" si="31">IF($X19=$C$18, $E$52, 0)+IF($X19=$C$19, $E$53, 0)</f>
        <v>10</v>
      </c>
      <c r="AG19" s="368">
        <f>IF(AND($W19&gt;$O$83, SUM($AA$17:AA18)&gt;0,SUM($AG$17:AG18)&lt;$O$79),$O$82,0)</f>
        <v>0</v>
      </c>
      <c r="AH19" s="107">
        <f>IF(SUM($AA18:$AA$18)&gt;0,($O$79-SUM($AG18:$AG$18))*$F$88,0)</f>
        <v>0</v>
      </c>
      <c r="AI19" s="108">
        <f t="shared" ref="AI19:AI47" si="32">SUM(AD19:AH19)</f>
        <v>57.5</v>
      </c>
      <c r="AJ19" s="113">
        <f t="shared" si="6"/>
        <v>-57.5</v>
      </c>
      <c r="AK19" s="115">
        <f t="shared" ref="AK19:AK47" si="33">-MIN(0, AH19-BQ19)</f>
        <v>0</v>
      </c>
      <c r="AL19" s="109"/>
      <c r="AM19" s="114">
        <f t="shared" si="7"/>
        <v>-53.384116064954789</v>
      </c>
      <c r="AN19" s="110"/>
      <c r="AO19" s="112">
        <f t="shared" si="8"/>
        <v>0</v>
      </c>
      <c r="AP19" s="113">
        <f t="shared" si="9"/>
        <v>0</v>
      </c>
      <c r="AQ19" s="113">
        <f t="shared" si="10"/>
        <v>0</v>
      </c>
      <c r="AR19" s="107">
        <f t="shared" si="11"/>
        <v>0</v>
      </c>
      <c r="AS19" s="108">
        <f t="shared" ref="AS19:AS23" si="34">SUM(AO19:AR19)</f>
        <v>0</v>
      </c>
      <c r="AT19" s="107">
        <f t="shared" si="12"/>
        <v>0</v>
      </c>
      <c r="AU19" s="107">
        <f t="shared" si="13"/>
        <v>0</v>
      </c>
      <c r="AV19" s="107">
        <f t="shared" si="14"/>
        <v>0</v>
      </c>
      <c r="AW19" s="107">
        <f t="shared" si="15"/>
        <v>47.5</v>
      </c>
      <c r="AX19" s="368">
        <f t="shared" ref="AX19:AX47" si="35">IF($X19=$C$18, $F$52, 0)+IF($X19=$C$19, $F$53, 0)</f>
        <v>10</v>
      </c>
      <c r="AY19" s="107">
        <f t="shared" si="16"/>
        <v>0</v>
      </c>
      <c r="AZ19" s="368">
        <f>IF(AND($W19&gt;$P$83, SUM($AQ$17:AQ18)&gt;0,SUM($AZ$17:AZ18)&lt;$P$79),$P$82,0)</f>
        <v>0</v>
      </c>
      <c r="BA19" s="107">
        <f>IF(SUM($AQ18:$AQ$18)&gt;0,($P$79-SUM($AZ18:$AZ$18))*$F$88,0)</f>
        <v>0</v>
      </c>
      <c r="BB19" s="108">
        <f t="shared" ref="BB19:BB47" si="36">SUM(AT19:BA19)</f>
        <v>57.5</v>
      </c>
      <c r="BC19" s="113">
        <f t="shared" ref="BC19:BC47" si="37">AS19-BB19</f>
        <v>-57.5</v>
      </c>
      <c r="BD19" s="114">
        <f t="shared" si="17"/>
        <v>-53.384116064954789</v>
      </c>
      <c r="BE19" s="111"/>
      <c r="BF19" s="180">
        <f t="shared" ref="BF19:BF47" si="38">BF18/(1+$O$25)</f>
        <v>0.92841940982530069</v>
      </c>
      <c r="BH19" s="112">
        <f t="shared" ref="BH19:BK34" si="39">AT19</f>
        <v>0</v>
      </c>
      <c r="BI19" s="112">
        <f t="shared" si="39"/>
        <v>0</v>
      </c>
      <c r="BJ19" s="113">
        <f t="shared" si="39"/>
        <v>0</v>
      </c>
      <c r="BK19" s="113">
        <f t="shared" si="39"/>
        <v>47.5</v>
      </c>
      <c r="BL19" s="113">
        <f t="shared" ref="BL19:BL47" si="40">AY19</f>
        <v>0</v>
      </c>
      <c r="BM19" s="107">
        <f t="shared" si="18"/>
        <v>0</v>
      </c>
      <c r="BN19" s="114">
        <f t="shared" si="19"/>
        <v>47.5</v>
      </c>
      <c r="BO19" s="113">
        <f t="shared" si="20"/>
        <v>0</v>
      </c>
      <c r="BP19" s="113">
        <f t="shared" si="21"/>
        <v>47.5</v>
      </c>
      <c r="BQ19" s="113">
        <f t="shared" si="22"/>
        <v>0</v>
      </c>
      <c r="BR19" s="113">
        <f t="shared" si="23"/>
        <v>0</v>
      </c>
      <c r="BS19" s="113">
        <f t="shared" si="24"/>
        <v>0</v>
      </c>
      <c r="BT19" s="107">
        <f t="shared" ref="BT19:BT47" si="41">IF($X19="-",0,IF($W19&lt;=$F$18,$P$105,IF($W19=$F$18+1,$P$106,$P$107)))</f>
        <v>0</v>
      </c>
      <c r="BU19" s="114">
        <f t="shared" ref="BU19:BU23" si="42">SUM(BO19:BT19)</f>
        <v>47.5</v>
      </c>
      <c r="BV19" s="114">
        <f t="shared" si="25"/>
        <v>0</v>
      </c>
      <c r="BW19" s="98"/>
      <c r="BX19" s="115">
        <f>IFERROR(-PPMT($P$87,$W19-$F$18,$F$19,$P$34),0)</f>
        <v>0</v>
      </c>
      <c r="BZ19" s="21"/>
    </row>
    <row r="20" spans="1:78" ht="15.75" customHeight="1" x14ac:dyDescent="0.45">
      <c r="C20" s="21" t="s">
        <v>142</v>
      </c>
      <c r="D20" s="191" t="s">
        <v>143</v>
      </c>
      <c r="F20" s="151">
        <v>46113</v>
      </c>
      <c r="J20" s="120"/>
      <c r="V20" s="294">
        <f t="shared" si="27"/>
        <v>47208</v>
      </c>
      <c r="W20" s="366">
        <f t="shared" si="28"/>
        <v>3</v>
      </c>
      <c r="X20" s="366" t="str">
        <f t="shared" si="29"/>
        <v>維持管理・運営期間</v>
      </c>
      <c r="Y20" s="106">
        <f t="shared" si="0"/>
        <v>0</v>
      </c>
      <c r="Z20" s="107">
        <f t="shared" si="1"/>
        <v>0</v>
      </c>
      <c r="AA20" s="107">
        <f t="shared" si="2"/>
        <v>0</v>
      </c>
      <c r="AB20" s="107">
        <f t="shared" si="3"/>
        <v>0</v>
      </c>
      <c r="AC20" s="108">
        <f t="shared" si="30"/>
        <v>0</v>
      </c>
      <c r="AD20" s="106">
        <f t="shared" si="4"/>
        <v>0</v>
      </c>
      <c r="AE20" s="107">
        <f t="shared" si="5"/>
        <v>47.5</v>
      </c>
      <c r="AF20" s="107">
        <f t="shared" si="31"/>
        <v>10</v>
      </c>
      <c r="AG20" s="368">
        <f>IF(AND($W20&gt;$O$83, SUM($AA$17:AA19)&gt;0,SUM($AG$17:AG19)&lt;$O$79),$O$82,0)</f>
        <v>0</v>
      </c>
      <c r="AH20" s="107">
        <f>IF(SUM($AA$18:$AA19)&gt;0,($O$79-SUM($AG$18:$AG19))*$F$88,0)</f>
        <v>0</v>
      </c>
      <c r="AI20" s="108">
        <f t="shared" si="32"/>
        <v>57.5</v>
      </c>
      <c r="AJ20" s="113">
        <f t="shared" si="6"/>
        <v>-57.5</v>
      </c>
      <c r="AK20" s="115">
        <f t="shared" si="33"/>
        <v>0</v>
      </c>
      <c r="AL20" s="277"/>
      <c r="AM20" s="264">
        <f t="shared" si="7"/>
        <v>-51.438010380229201</v>
      </c>
      <c r="AN20" s="278"/>
      <c r="AO20" s="266">
        <f t="shared" si="8"/>
        <v>0</v>
      </c>
      <c r="AP20" s="263">
        <f t="shared" si="9"/>
        <v>0</v>
      </c>
      <c r="AQ20" s="263">
        <f t="shared" si="10"/>
        <v>0</v>
      </c>
      <c r="AR20" s="260">
        <f t="shared" si="11"/>
        <v>0</v>
      </c>
      <c r="AS20" s="261">
        <f t="shared" si="34"/>
        <v>0</v>
      </c>
      <c r="AT20" s="260">
        <f t="shared" si="12"/>
        <v>0</v>
      </c>
      <c r="AU20" s="260">
        <f t="shared" si="13"/>
        <v>0</v>
      </c>
      <c r="AV20" s="260">
        <f t="shared" si="14"/>
        <v>0</v>
      </c>
      <c r="AW20" s="260">
        <f t="shared" si="15"/>
        <v>47.5</v>
      </c>
      <c r="AX20" s="368">
        <f t="shared" si="35"/>
        <v>10</v>
      </c>
      <c r="AY20" s="260">
        <f t="shared" si="16"/>
        <v>0</v>
      </c>
      <c r="AZ20" s="368">
        <f>IF(AND($W20&gt;$P$83, SUM($AQ$17:AQ19)&gt;0,SUM($AZ$17:AZ19)&lt;$P$79),$P$82,0)</f>
        <v>0</v>
      </c>
      <c r="BA20" s="107">
        <f>IF(SUM($AQ$18:$AQ19)&gt;0,($P$79-SUM($AZ$18:$AZ19))*$F$88,0)</f>
        <v>0</v>
      </c>
      <c r="BB20" s="261">
        <f t="shared" si="36"/>
        <v>57.5</v>
      </c>
      <c r="BC20" s="263">
        <f t="shared" si="37"/>
        <v>-57.5</v>
      </c>
      <c r="BD20" s="264">
        <f t="shared" si="17"/>
        <v>-51.438010380229201</v>
      </c>
      <c r="BE20" s="279"/>
      <c r="BF20" s="180">
        <f t="shared" si="38"/>
        <v>0.89457409356920348</v>
      </c>
      <c r="BH20" s="266">
        <f t="shared" si="39"/>
        <v>0</v>
      </c>
      <c r="BI20" s="266">
        <f t="shared" si="39"/>
        <v>0</v>
      </c>
      <c r="BJ20" s="263">
        <f t="shared" si="39"/>
        <v>0</v>
      </c>
      <c r="BK20" s="263">
        <f t="shared" si="39"/>
        <v>47.5</v>
      </c>
      <c r="BL20" s="263">
        <f t="shared" si="40"/>
        <v>0</v>
      </c>
      <c r="BM20" s="260">
        <f t="shared" si="18"/>
        <v>0</v>
      </c>
      <c r="BN20" s="264">
        <f t="shared" si="19"/>
        <v>47.5</v>
      </c>
      <c r="BO20" s="263">
        <f t="shared" si="20"/>
        <v>0</v>
      </c>
      <c r="BP20" s="263">
        <f t="shared" si="21"/>
        <v>47.5</v>
      </c>
      <c r="BQ20" s="263">
        <f t="shared" si="22"/>
        <v>0</v>
      </c>
      <c r="BR20" s="263">
        <f t="shared" si="23"/>
        <v>0</v>
      </c>
      <c r="BS20" s="263">
        <f t="shared" si="24"/>
        <v>0</v>
      </c>
      <c r="BT20" s="107">
        <f t="shared" si="41"/>
        <v>0</v>
      </c>
      <c r="BU20" s="264">
        <f t="shared" si="42"/>
        <v>47.5</v>
      </c>
      <c r="BV20" s="264">
        <f t="shared" si="25"/>
        <v>0</v>
      </c>
      <c r="BW20" s="265"/>
      <c r="BX20" s="361">
        <f t="shared" si="26"/>
        <v>0</v>
      </c>
      <c r="BZ20" s="21"/>
    </row>
    <row r="21" spans="1:78" s="116" customFormat="1" x14ac:dyDescent="0.45">
      <c r="C21" s="116" t="s">
        <v>144</v>
      </c>
      <c r="D21" s="191" t="s">
        <v>143</v>
      </c>
      <c r="E21" s="21"/>
      <c r="F21" s="152">
        <f>EOMONTH(F20,12*F18-1)</f>
        <v>46112</v>
      </c>
      <c r="I21" s="331"/>
      <c r="J21" s="187"/>
      <c r="N21" s="191"/>
      <c r="O21" s="21"/>
      <c r="P21" s="21"/>
      <c r="T21" s="191"/>
      <c r="V21" s="294">
        <f t="shared" si="27"/>
        <v>47573</v>
      </c>
      <c r="W21" s="366">
        <f t="shared" si="28"/>
        <v>4</v>
      </c>
      <c r="X21" s="366" t="str">
        <f t="shared" si="29"/>
        <v>維持管理・運営期間</v>
      </c>
      <c r="Y21" s="106">
        <f t="shared" si="0"/>
        <v>0</v>
      </c>
      <c r="Z21" s="107">
        <f t="shared" si="1"/>
        <v>0</v>
      </c>
      <c r="AA21" s="107">
        <f t="shared" si="2"/>
        <v>0</v>
      </c>
      <c r="AB21" s="107">
        <f t="shared" si="3"/>
        <v>0</v>
      </c>
      <c r="AC21" s="108">
        <f t="shared" si="30"/>
        <v>0</v>
      </c>
      <c r="AD21" s="106">
        <f t="shared" si="4"/>
        <v>0</v>
      </c>
      <c r="AE21" s="107">
        <f t="shared" si="5"/>
        <v>47.5</v>
      </c>
      <c r="AF21" s="107">
        <f t="shared" si="31"/>
        <v>10</v>
      </c>
      <c r="AG21" s="368">
        <f>IF(AND($W21&gt;$O$83, SUM($AA$17:AA20)&gt;0,SUM($AG$17:AG20)&lt;$O$79),$O$82,0)</f>
        <v>0</v>
      </c>
      <c r="AH21" s="107">
        <f>IF(SUM($AA$18:$AA20)&gt;0,($O$79-SUM($AG$18:$AG20))*$F$88,0)</f>
        <v>0</v>
      </c>
      <c r="AI21" s="108">
        <f t="shared" si="32"/>
        <v>57.5</v>
      </c>
      <c r="AJ21" s="113">
        <f t="shared" si="6"/>
        <v>-57.5</v>
      </c>
      <c r="AK21" s="115">
        <f t="shared" si="33"/>
        <v>0</v>
      </c>
      <c r="AL21" s="277"/>
      <c r="AM21" s="264">
        <f t="shared" si="7"/>
        <v>-49.562849531070675</v>
      </c>
      <c r="AN21" s="278"/>
      <c r="AO21" s="266">
        <f t="shared" si="8"/>
        <v>0</v>
      </c>
      <c r="AP21" s="263">
        <f t="shared" si="9"/>
        <v>0</v>
      </c>
      <c r="AQ21" s="263">
        <f t="shared" si="10"/>
        <v>0</v>
      </c>
      <c r="AR21" s="260">
        <f t="shared" si="11"/>
        <v>0</v>
      </c>
      <c r="AS21" s="261">
        <f t="shared" si="34"/>
        <v>0</v>
      </c>
      <c r="AT21" s="260">
        <f t="shared" si="12"/>
        <v>0</v>
      </c>
      <c r="AU21" s="260">
        <f t="shared" si="13"/>
        <v>0</v>
      </c>
      <c r="AV21" s="260">
        <f t="shared" si="14"/>
        <v>0</v>
      </c>
      <c r="AW21" s="260">
        <f t="shared" si="15"/>
        <v>47.5</v>
      </c>
      <c r="AX21" s="368">
        <f t="shared" si="35"/>
        <v>10</v>
      </c>
      <c r="AY21" s="260">
        <f t="shared" si="16"/>
        <v>0</v>
      </c>
      <c r="AZ21" s="368">
        <f>IF(AND($W21&gt;$P$83, SUM($AQ$17:AQ20)&gt;0,SUM($AZ$17:AZ20)&lt;$P$79),$P$82,0)</f>
        <v>0</v>
      </c>
      <c r="BA21" s="107">
        <f>IF(SUM($AQ$18:$AQ20)&gt;0,($P$79-SUM($AZ$18:$AZ20))*$F$88,0)</f>
        <v>0</v>
      </c>
      <c r="BB21" s="261">
        <f t="shared" si="36"/>
        <v>57.5</v>
      </c>
      <c r="BC21" s="263">
        <f t="shared" si="37"/>
        <v>-57.5</v>
      </c>
      <c r="BD21" s="264">
        <f t="shared" si="17"/>
        <v>-49.562849531070675</v>
      </c>
      <c r="BE21" s="279"/>
      <c r="BF21" s="180">
        <f t="shared" si="38"/>
        <v>0.86196260054035956</v>
      </c>
      <c r="BG21" s="22"/>
      <c r="BH21" s="266">
        <f t="shared" si="39"/>
        <v>0</v>
      </c>
      <c r="BI21" s="266">
        <f t="shared" si="39"/>
        <v>0</v>
      </c>
      <c r="BJ21" s="263">
        <f t="shared" si="39"/>
        <v>0</v>
      </c>
      <c r="BK21" s="263">
        <f t="shared" si="39"/>
        <v>47.5</v>
      </c>
      <c r="BL21" s="263">
        <f t="shared" si="40"/>
        <v>0</v>
      </c>
      <c r="BM21" s="260">
        <f t="shared" si="18"/>
        <v>0</v>
      </c>
      <c r="BN21" s="264">
        <f t="shared" si="19"/>
        <v>47.5</v>
      </c>
      <c r="BO21" s="263">
        <f t="shared" si="20"/>
        <v>0</v>
      </c>
      <c r="BP21" s="263">
        <f t="shared" si="21"/>
        <v>47.5</v>
      </c>
      <c r="BQ21" s="263">
        <f t="shared" si="22"/>
        <v>0</v>
      </c>
      <c r="BR21" s="263">
        <f t="shared" si="23"/>
        <v>0</v>
      </c>
      <c r="BS21" s="263">
        <f t="shared" si="24"/>
        <v>0</v>
      </c>
      <c r="BT21" s="107">
        <f t="shared" si="41"/>
        <v>0</v>
      </c>
      <c r="BU21" s="264">
        <f t="shared" si="42"/>
        <v>47.5</v>
      </c>
      <c r="BV21" s="264">
        <f t="shared" si="25"/>
        <v>0</v>
      </c>
      <c r="BW21" s="265"/>
      <c r="BX21" s="361">
        <f t="shared" si="26"/>
        <v>0</v>
      </c>
      <c r="BY21" s="117"/>
    </row>
    <row r="22" spans="1:78" ht="15.75" customHeight="1" x14ac:dyDescent="0.45">
      <c r="C22" s="21" t="s">
        <v>145</v>
      </c>
      <c r="D22" s="191" t="s">
        <v>143</v>
      </c>
      <c r="F22" s="152">
        <f>F21+1</f>
        <v>46113</v>
      </c>
      <c r="V22" s="294">
        <f t="shared" si="27"/>
        <v>47938</v>
      </c>
      <c r="W22" s="366">
        <f t="shared" si="28"/>
        <v>5</v>
      </c>
      <c r="X22" s="366" t="str">
        <f t="shared" si="29"/>
        <v>維持管理・運営期間</v>
      </c>
      <c r="Y22" s="106">
        <f t="shared" si="0"/>
        <v>0</v>
      </c>
      <c r="Z22" s="107">
        <f t="shared" si="1"/>
        <v>0</v>
      </c>
      <c r="AA22" s="107">
        <f t="shared" si="2"/>
        <v>0</v>
      </c>
      <c r="AB22" s="107">
        <f t="shared" si="3"/>
        <v>0</v>
      </c>
      <c r="AC22" s="108">
        <f t="shared" si="30"/>
        <v>0</v>
      </c>
      <c r="AD22" s="106">
        <f t="shared" si="4"/>
        <v>0</v>
      </c>
      <c r="AE22" s="107">
        <f t="shared" si="5"/>
        <v>47.5</v>
      </c>
      <c r="AF22" s="107">
        <f t="shared" si="31"/>
        <v>10</v>
      </c>
      <c r="AG22" s="368">
        <f>IF(AND($W22&gt;$O$83, SUM($AA$17:AA21)&gt;0,SUM($AG$17:AG21)&lt;$O$79),$O$82,0)</f>
        <v>0</v>
      </c>
      <c r="AH22" s="107">
        <f>IF(SUM($AA$18:$AA21)&gt;0,($O$79-SUM($AG$18:$AG21))*$F$88,0)</f>
        <v>0</v>
      </c>
      <c r="AI22" s="108">
        <f t="shared" si="32"/>
        <v>57.5</v>
      </c>
      <c r="AJ22" s="113">
        <f t="shared" si="6"/>
        <v>-57.5</v>
      </c>
      <c r="AK22" s="115">
        <f t="shared" si="33"/>
        <v>0</v>
      </c>
      <c r="AL22" s="277"/>
      <c r="AM22" s="264">
        <f t="shared" si="7"/>
        <v>-47.756047239800083</v>
      </c>
      <c r="AN22" s="278"/>
      <c r="AO22" s="266">
        <f t="shared" si="8"/>
        <v>0</v>
      </c>
      <c r="AP22" s="263">
        <f t="shared" si="9"/>
        <v>0</v>
      </c>
      <c r="AQ22" s="263">
        <f t="shared" si="10"/>
        <v>0</v>
      </c>
      <c r="AR22" s="260">
        <f t="shared" si="11"/>
        <v>0</v>
      </c>
      <c r="AS22" s="261">
        <f t="shared" si="34"/>
        <v>0</v>
      </c>
      <c r="AT22" s="260">
        <f t="shared" si="12"/>
        <v>0</v>
      </c>
      <c r="AU22" s="260">
        <f t="shared" si="13"/>
        <v>0</v>
      </c>
      <c r="AV22" s="260">
        <f t="shared" si="14"/>
        <v>0</v>
      </c>
      <c r="AW22" s="260">
        <f t="shared" si="15"/>
        <v>47.5</v>
      </c>
      <c r="AX22" s="368">
        <f t="shared" si="35"/>
        <v>10</v>
      </c>
      <c r="AY22" s="260">
        <f t="shared" si="16"/>
        <v>0</v>
      </c>
      <c r="AZ22" s="368">
        <f>IF(AND($W22&gt;$P$83, SUM($AQ$17:AQ21)&gt;0,SUM($AZ$17:AZ21)&lt;$P$79),$P$82,0)</f>
        <v>0</v>
      </c>
      <c r="BA22" s="107">
        <f>IF(SUM($AQ$18:$AQ21)&gt;0,($P$79-SUM($AZ$18:$AZ21))*$F$88,0)</f>
        <v>0</v>
      </c>
      <c r="BB22" s="261">
        <f t="shared" si="36"/>
        <v>57.5</v>
      </c>
      <c r="BC22" s="263">
        <f t="shared" si="37"/>
        <v>-57.5</v>
      </c>
      <c r="BD22" s="264">
        <f t="shared" si="17"/>
        <v>-47.756047239800083</v>
      </c>
      <c r="BE22" s="279"/>
      <c r="BF22" s="180">
        <f t="shared" si="38"/>
        <v>0.8305399519965232</v>
      </c>
      <c r="BH22" s="266">
        <f t="shared" si="39"/>
        <v>0</v>
      </c>
      <c r="BI22" s="266">
        <f t="shared" si="39"/>
        <v>0</v>
      </c>
      <c r="BJ22" s="263">
        <f t="shared" si="39"/>
        <v>0</v>
      </c>
      <c r="BK22" s="263">
        <f t="shared" si="39"/>
        <v>47.5</v>
      </c>
      <c r="BL22" s="263">
        <f t="shared" si="40"/>
        <v>0</v>
      </c>
      <c r="BM22" s="260">
        <f t="shared" si="18"/>
        <v>0</v>
      </c>
      <c r="BN22" s="264">
        <f t="shared" si="19"/>
        <v>47.5</v>
      </c>
      <c r="BO22" s="263">
        <f t="shared" si="20"/>
        <v>0</v>
      </c>
      <c r="BP22" s="263">
        <f t="shared" si="21"/>
        <v>47.5</v>
      </c>
      <c r="BQ22" s="263">
        <f t="shared" si="22"/>
        <v>0</v>
      </c>
      <c r="BR22" s="263">
        <f t="shared" si="23"/>
        <v>0</v>
      </c>
      <c r="BS22" s="263">
        <f t="shared" si="24"/>
        <v>0</v>
      </c>
      <c r="BT22" s="107">
        <f t="shared" si="41"/>
        <v>0</v>
      </c>
      <c r="BU22" s="264">
        <f t="shared" si="42"/>
        <v>47.5</v>
      </c>
      <c r="BV22" s="264">
        <f t="shared" si="25"/>
        <v>0</v>
      </c>
      <c r="BW22" s="265"/>
      <c r="BX22" s="361">
        <f t="shared" si="26"/>
        <v>0</v>
      </c>
      <c r="BZ22" s="21"/>
    </row>
    <row r="23" spans="1:78" ht="15.75" customHeight="1" x14ac:dyDescent="0.45">
      <c r="C23" s="21" t="s">
        <v>146</v>
      </c>
      <c r="D23" s="191" t="s">
        <v>143</v>
      </c>
      <c r="F23" s="152">
        <f>EOMONTH(F22,12*F19-1)</f>
        <v>53417</v>
      </c>
      <c r="V23" s="294">
        <f t="shared" si="27"/>
        <v>48304</v>
      </c>
      <c r="W23" s="366">
        <f t="shared" si="28"/>
        <v>6</v>
      </c>
      <c r="X23" s="366" t="str">
        <f t="shared" si="29"/>
        <v>維持管理・運営期間</v>
      </c>
      <c r="Y23" s="106">
        <f t="shared" si="0"/>
        <v>0</v>
      </c>
      <c r="Z23" s="107">
        <f t="shared" si="1"/>
        <v>0</v>
      </c>
      <c r="AA23" s="107">
        <f t="shared" si="2"/>
        <v>0</v>
      </c>
      <c r="AB23" s="107">
        <f t="shared" si="3"/>
        <v>0</v>
      </c>
      <c r="AC23" s="108">
        <f t="shared" si="30"/>
        <v>0</v>
      </c>
      <c r="AD23" s="106">
        <f t="shared" si="4"/>
        <v>0</v>
      </c>
      <c r="AE23" s="107">
        <f t="shared" si="5"/>
        <v>47.5</v>
      </c>
      <c r="AF23" s="107">
        <f t="shared" si="31"/>
        <v>10</v>
      </c>
      <c r="AG23" s="368">
        <f>IF(AND($W23&gt;$O$83, SUM($AA$17:AA22)&gt;0,SUM($AG$17:AG22)&lt;$O$79),$O$82,0)</f>
        <v>0</v>
      </c>
      <c r="AH23" s="107">
        <f>IF(SUM($AA$18:$AA22)&gt;0,($O$79-SUM($AG$18:$AG22))*$F$88,0)</f>
        <v>0</v>
      </c>
      <c r="AI23" s="108">
        <f t="shared" si="32"/>
        <v>57.5</v>
      </c>
      <c r="AJ23" s="113">
        <f t="shared" si="6"/>
        <v>-57.5</v>
      </c>
      <c r="AK23" s="115">
        <f t="shared" si="33"/>
        <v>0</v>
      </c>
      <c r="AL23" s="277"/>
      <c r="AM23" s="264">
        <f t="shared" si="7"/>
        <v>-46.015111510896816</v>
      </c>
      <c r="AN23" s="278"/>
      <c r="AO23" s="266">
        <f t="shared" si="8"/>
        <v>0</v>
      </c>
      <c r="AP23" s="263">
        <f t="shared" si="9"/>
        <v>0</v>
      </c>
      <c r="AQ23" s="263">
        <f t="shared" si="10"/>
        <v>0</v>
      </c>
      <c r="AR23" s="260">
        <f t="shared" si="11"/>
        <v>0</v>
      </c>
      <c r="AS23" s="261">
        <f t="shared" si="34"/>
        <v>0</v>
      </c>
      <c r="AT23" s="260">
        <f t="shared" si="12"/>
        <v>0</v>
      </c>
      <c r="AU23" s="260">
        <f t="shared" si="13"/>
        <v>0</v>
      </c>
      <c r="AV23" s="260">
        <f t="shared" si="14"/>
        <v>0</v>
      </c>
      <c r="AW23" s="260">
        <f t="shared" si="15"/>
        <v>47.5</v>
      </c>
      <c r="AX23" s="368">
        <f t="shared" si="35"/>
        <v>10</v>
      </c>
      <c r="AY23" s="260">
        <f t="shared" si="16"/>
        <v>0</v>
      </c>
      <c r="AZ23" s="368">
        <f>IF(AND($W23&gt;$P$83, SUM($AQ$17:AQ22)&gt;0,SUM($AZ$17:AZ22)&lt;$P$79),$P$82,0)</f>
        <v>0</v>
      </c>
      <c r="BA23" s="107">
        <f>IF(SUM($AQ$18:$AQ22)&gt;0,($P$79-SUM($AZ$18:$AZ22))*$F$88,0)</f>
        <v>0</v>
      </c>
      <c r="BB23" s="261">
        <f t="shared" si="36"/>
        <v>57.5</v>
      </c>
      <c r="BC23" s="263">
        <f t="shared" si="37"/>
        <v>-57.5</v>
      </c>
      <c r="BD23" s="264">
        <f t="shared" si="17"/>
        <v>-46.015111510896816</v>
      </c>
      <c r="BE23" s="279"/>
      <c r="BF23" s="180">
        <f t="shared" si="38"/>
        <v>0.80026280888516199</v>
      </c>
      <c r="BH23" s="266">
        <f t="shared" si="39"/>
        <v>0</v>
      </c>
      <c r="BI23" s="266">
        <f t="shared" si="39"/>
        <v>0</v>
      </c>
      <c r="BJ23" s="263">
        <f t="shared" si="39"/>
        <v>0</v>
      </c>
      <c r="BK23" s="263">
        <f t="shared" si="39"/>
        <v>47.5</v>
      </c>
      <c r="BL23" s="263">
        <f t="shared" si="40"/>
        <v>0</v>
      </c>
      <c r="BM23" s="260">
        <f t="shared" si="18"/>
        <v>0</v>
      </c>
      <c r="BN23" s="264">
        <f t="shared" si="19"/>
        <v>47.5</v>
      </c>
      <c r="BO23" s="263">
        <f t="shared" si="20"/>
        <v>0</v>
      </c>
      <c r="BP23" s="263">
        <f t="shared" si="21"/>
        <v>47.5</v>
      </c>
      <c r="BQ23" s="263">
        <f t="shared" si="22"/>
        <v>0</v>
      </c>
      <c r="BR23" s="263">
        <f t="shared" si="23"/>
        <v>0</v>
      </c>
      <c r="BS23" s="263">
        <f t="shared" si="24"/>
        <v>0</v>
      </c>
      <c r="BT23" s="107">
        <f t="shared" si="41"/>
        <v>0</v>
      </c>
      <c r="BU23" s="264">
        <f t="shared" si="42"/>
        <v>47.5</v>
      </c>
      <c r="BV23" s="264">
        <f t="shared" si="25"/>
        <v>0</v>
      </c>
      <c r="BW23" s="265"/>
      <c r="BX23" s="361">
        <f t="shared" si="26"/>
        <v>0</v>
      </c>
      <c r="BZ23" s="21"/>
    </row>
    <row r="24" spans="1:78" ht="15.75" customHeight="1" x14ac:dyDescent="0.55000000000000004">
      <c r="I24" s="332"/>
      <c r="N24" s="21"/>
      <c r="V24" s="294">
        <f t="shared" si="27"/>
        <v>48669</v>
      </c>
      <c r="W24" s="366">
        <f t="shared" si="28"/>
        <v>7</v>
      </c>
      <c r="X24" s="366" t="str">
        <f t="shared" si="29"/>
        <v>維持管理・運営期間</v>
      </c>
      <c r="Y24" s="106">
        <f t="shared" si="0"/>
        <v>0</v>
      </c>
      <c r="Z24" s="107">
        <f t="shared" si="1"/>
        <v>0</v>
      </c>
      <c r="AA24" s="107">
        <f t="shared" si="2"/>
        <v>0</v>
      </c>
      <c r="AB24" s="107">
        <f t="shared" si="3"/>
        <v>0</v>
      </c>
      <c r="AC24" s="108">
        <f t="shared" ref="AC24:AC47" si="43">SUM(Y24:AB24)</f>
        <v>0</v>
      </c>
      <c r="AD24" s="106">
        <f t="shared" si="4"/>
        <v>0</v>
      </c>
      <c r="AE24" s="107">
        <f t="shared" si="5"/>
        <v>47.5</v>
      </c>
      <c r="AF24" s="107">
        <f t="shared" si="31"/>
        <v>10</v>
      </c>
      <c r="AG24" s="368">
        <f>IF(AND($W24&gt;$O$83, SUM($AA$17:AA23)&gt;0,SUM($AG$17:AG23)&lt;$O$79),$O$82,0)</f>
        <v>0</v>
      </c>
      <c r="AH24" s="107">
        <f>IF(SUM($AA$18:$AA23)&gt;0,($O$79-SUM($AG$18:$AG23))*$F$88,0)</f>
        <v>0</v>
      </c>
      <c r="AI24" s="108">
        <f t="shared" si="32"/>
        <v>57.5</v>
      </c>
      <c r="AJ24" s="113">
        <f t="shared" si="6"/>
        <v>-57.5</v>
      </c>
      <c r="AK24" s="115">
        <f t="shared" si="33"/>
        <v>0</v>
      </c>
      <c r="AL24" s="277"/>
      <c r="AM24" s="264">
        <f t="shared" si="7"/>
        <v>-44.337641193964366</v>
      </c>
      <c r="AN24" s="278"/>
      <c r="AO24" s="266">
        <f t="shared" si="8"/>
        <v>0</v>
      </c>
      <c r="AP24" s="263">
        <f t="shared" si="9"/>
        <v>0</v>
      </c>
      <c r="AQ24" s="263">
        <f t="shared" si="10"/>
        <v>0</v>
      </c>
      <c r="AR24" s="260">
        <f t="shared" si="11"/>
        <v>0</v>
      </c>
      <c r="AS24" s="261">
        <f t="shared" ref="AS24:AS47" si="44">SUM(AO24:AR24)</f>
        <v>0</v>
      </c>
      <c r="AT24" s="260">
        <f t="shared" si="12"/>
        <v>0</v>
      </c>
      <c r="AU24" s="260">
        <f t="shared" si="13"/>
        <v>0</v>
      </c>
      <c r="AV24" s="260">
        <f t="shared" si="14"/>
        <v>0</v>
      </c>
      <c r="AW24" s="260">
        <f t="shared" si="15"/>
        <v>47.5</v>
      </c>
      <c r="AX24" s="368">
        <f t="shared" si="35"/>
        <v>10</v>
      </c>
      <c r="AY24" s="260">
        <f t="shared" si="16"/>
        <v>0</v>
      </c>
      <c r="AZ24" s="368">
        <f>IF(AND($W24&gt;$P$83, SUM($AQ$17:AQ23)&gt;0,SUM($AZ$17:AZ23)&lt;$P$79),$P$82,0)</f>
        <v>0</v>
      </c>
      <c r="BA24" s="107">
        <f>IF(SUM($AQ$18:$AQ23)&gt;0,($P$79-SUM($AZ$18:$AZ23))*$F$88,0)</f>
        <v>0</v>
      </c>
      <c r="BB24" s="261">
        <f t="shared" si="36"/>
        <v>57.5</v>
      </c>
      <c r="BC24" s="263">
        <f t="shared" si="37"/>
        <v>-57.5</v>
      </c>
      <c r="BD24" s="264">
        <f t="shared" si="17"/>
        <v>-44.337641193964366</v>
      </c>
      <c r="BE24" s="279"/>
      <c r="BF24" s="180">
        <f t="shared" si="38"/>
        <v>0.77108941206894555</v>
      </c>
      <c r="BH24" s="266">
        <f t="shared" si="39"/>
        <v>0</v>
      </c>
      <c r="BI24" s="266">
        <f t="shared" si="39"/>
        <v>0</v>
      </c>
      <c r="BJ24" s="263">
        <f t="shared" si="39"/>
        <v>0</v>
      </c>
      <c r="BK24" s="263">
        <f t="shared" si="39"/>
        <v>47.5</v>
      </c>
      <c r="BL24" s="263">
        <f t="shared" si="40"/>
        <v>0</v>
      </c>
      <c r="BM24" s="260">
        <f t="shared" si="18"/>
        <v>0</v>
      </c>
      <c r="BN24" s="264">
        <f t="shared" ref="BN24:BN36" si="45">SUM(BH24:BM24)</f>
        <v>47.5</v>
      </c>
      <c r="BO24" s="263">
        <f t="shared" si="20"/>
        <v>0</v>
      </c>
      <c r="BP24" s="263">
        <f t="shared" si="21"/>
        <v>47.5</v>
      </c>
      <c r="BQ24" s="263">
        <f t="shared" si="22"/>
        <v>0</v>
      </c>
      <c r="BR24" s="263">
        <f t="shared" si="23"/>
        <v>0</v>
      </c>
      <c r="BS24" s="263">
        <f t="shared" si="24"/>
        <v>0</v>
      </c>
      <c r="BT24" s="107">
        <f t="shared" si="41"/>
        <v>0</v>
      </c>
      <c r="BU24" s="264">
        <f t="shared" ref="BU24:BU36" si="46">SUM(BO24:BT24)</f>
        <v>47.5</v>
      </c>
      <c r="BV24" s="264">
        <f t="shared" si="25"/>
        <v>0</v>
      </c>
      <c r="BW24" s="265"/>
      <c r="BX24" s="361">
        <f t="shared" si="26"/>
        <v>0</v>
      </c>
      <c r="BZ24" s="21"/>
    </row>
    <row r="25" spans="1:78" ht="15.75" customHeight="1" x14ac:dyDescent="0.55000000000000004">
      <c r="B25" s="226" t="s">
        <v>147</v>
      </c>
      <c r="I25" s="214"/>
      <c r="J25" s="223" t="s">
        <v>148</v>
      </c>
      <c r="N25" s="191" t="s">
        <v>25</v>
      </c>
      <c r="O25" s="121">
        <f>SUM(F26:F27)</f>
        <v>3.7833999999999993E-2</v>
      </c>
      <c r="V25" s="294">
        <f t="shared" si="27"/>
        <v>49034</v>
      </c>
      <c r="W25" s="366">
        <f t="shared" si="28"/>
        <v>8</v>
      </c>
      <c r="X25" s="366" t="str">
        <f t="shared" si="29"/>
        <v>維持管理・運営期間</v>
      </c>
      <c r="Y25" s="106">
        <f t="shared" si="0"/>
        <v>0</v>
      </c>
      <c r="Z25" s="107">
        <f t="shared" si="1"/>
        <v>0</v>
      </c>
      <c r="AA25" s="107">
        <f t="shared" si="2"/>
        <v>0</v>
      </c>
      <c r="AB25" s="107">
        <f t="shared" si="3"/>
        <v>0</v>
      </c>
      <c r="AC25" s="108">
        <f t="shared" si="43"/>
        <v>0</v>
      </c>
      <c r="AD25" s="106">
        <f t="shared" si="4"/>
        <v>0</v>
      </c>
      <c r="AE25" s="107">
        <f t="shared" si="5"/>
        <v>47.5</v>
      </c>
      <c r="AF25" s="107">
        <f t="shared" si="31"/>
        <v>10</v>
      </c>
      <c r="AG25" s="368">
        <f>IF(AND($W25&gt;$O$83, SUM($AA$17:AA24)&gt;0,SUM($AG$17:AG24)&lt;$O$79),$O$82,0)</f>
        <v>0</v>
      </c>
      <c r="AH25" s="107">
        <f>IF(SUM($AA$18:$AA24)&gt;0,($O$79-SUM($AG$18:$AG24))*$F$88,0)</f>
        <v>0</v>
      </c>
      <c r="AI25" s="108">
        <f t="shared" si="32"/>
        <v>57.5</v>
      </c>
      <c r="AJ25" s="113">
        <f t="shared" si="6"/>
        <v>-57.5</v>
      </c>
      <c r="AK25" s="115">
        <f t="shared" si="33"/>
        <v>0</v>
      </c>
      <c r="AL25" s="277"/>
      <c r="AM25" s="264">
        <f t="shared" si="7"/>
        <v>-42.721322671992219</v>
      </c>
      <c r="AN25" s="278"/>
      <c r="AO25" s="266">
        <f t="shared" si="8"/>
        <v>0</v>
      </c>
      <c r="AP25" s="263">
        <f t="shared" si="9"/>
        <v>0</v>
      </c>
      <c r="AQ25" s="263">
        <f t="shared" si="10"/>
        <v>0</v>
      </c>
      <c r="AR25" s="260">
        <f t="shared" si="11"/>
        <v>0</v>
      </c>
      <c r="AS25" s="261">
        <f t="shared" si="44"/>
        <v>0</v>
      </c>
      <c r="AT25" s="260">
        <f t="shared" si="12"/>
        <v>0</v>
      </c>
      <c r="AU25" s="260">
        <f t="shared" si="13"/>
        <v>0</v>
      </c>
      <c r="AV25" s="260">
        <f t="shared" si="14"/>
        <v>0</v>
      </c>
      <c r="AW25" s="260">
        <f t="shared" si="15"/>
        <v>47.5</v>
      </c>
      <c r="AX25" s="368">
        <f t="shared" si="35"/>
        <v>10</v>
      </c>
      <c r="AY25" s="260">
        <f t="shared" si="16"/>
        <v>0</v>
      </c>
      <c r="AZ25" s="368">
        <f>IF(AND($W25&gt;$P$83, SUM($AQ$17:AQ24)&gt;0,SUM($AZ$17:AZ24)&lt;$P$79),$P$82,0)</f>
        <v>0</v>
      </c>
      <c r="BA25" s="107">
        <f>IF(SUM($AQ$18:$AQ24)&gt;0,($P$79-SUM($AZ$18:$AZ24))*$F$88,0)</f>
        <v>0</v>
      </c>
      <c r="BB25" s="261">
        <f t="shared" si="36"/>
        <v>57.5</v>
      </c>
      <c r="BC25" s="263">
        <f t="shared" si="37"/>
        <v>-57.5</v>
      </c>
      <c r="BD25" s="264">
        <f t="shared" si="17"/>
        <v>-42.721322671992219</v>
      </c>
      <c r="BE25" s="279"/>
      <c r="BF25" s="180">
        <f t="shared" si="38"/>
        <v>0.74297952473029949</v>
      </c>
      <c r="BH25" s="266">
        <f t="shared" si="39"/>
        <v>0</v>
      </c>
      <c r="BI25" s="266">
        <f t="shared" si="39"/>
        <v>0</v>
      </c>
      <c r="BJ25" s="263">
        <f t="shared" si="39"/>
        <v>0</v>
      </c>
      <c r="BK25" s="263">
        <f t="shared" si="39"/>
        <v>47.5</v>
      </c>
      <c r="BL25" s="263">
        <f t="shared" si="40"/>
        <v>0</v>
      </c>
      <c r="BM25" s="260">
        <f t="shared" si="18"/>
        <v>0</v>
      </c>
      <c r="BN25" s="264">
        <f t="shared" si="45"/>
        <v>47.5</v>
      </c>
      <c r="BO25" s="263">
        <f t="shared" si="20"/>
        <v>0</v>
      </c>
      <c r="BP25" s="263">
        <f t="shared" si="21"/>
        <v>47.5</v>
      </c>
      <c r="BQ25" s="263">
        <f t="shared" si="22"/>
        <v>0</v>
      </c>
      <c r="BR25" s="263">
        <f t="shared" si="23"/>
        <v>0</v>
      </c>
      <c r="BS25" s="263">
        <f t="shared" si="24"/>
        <v>0</v>
      </c>
      <c r="BT25" s="107">
        <f t="shared" si="41"/>
        <v>0</v>
      </c>
      <c r="BU25" s="264">
        <f t="shared" si="46"/>
        <v>47.5</v>
      </c>
      <c r="BV25" s="264">
        <f t="shared" si="25"/>
        <v>0</v>
      </c>
      <c r="BW25" s="265"/>
      <c r="BX25" s="361">
        <f t="shared" si="26"/>
        <v>0</v>
      </c>
      <c r="BZ25" s="21"/>
    </row>
    <row r="26" spans="1:78" ht="15.75" customHeight="1" x14ac:dyDescent="0.45">
      <c r="B26" s="119"/>
      <c r="C26" s="21" t="s">
        <v>149</v>
      </c>
      <c r="D26" s="191" t="s">
        <v>25</v>
      </c>
      <c r="F26" s="153">
        <v>1.7833999999999999E-2</v>
      </c>
      <c r="V26" s="294">
        <f t="shared" si="27"/>
        <v>49399</v>
      </c>
      <c r="W26" s="366">
        <f t="shared" si="28"/>
        <v>9</v>
      </c>
      <c r="X26" s="366" t="str">
        <f t="shared" si="29"/>
        <v>維持管理・運営期間</v>
      </c>
      <c r="Y26" s="106">
        <f t="shared" si="0"/>
        <v>0</v>
      </c>
      <c r="Z26" s="107">
        <f t="shared" si="1"/>
        <v>0</v>
      </c>
      <c r="AA26" s="107">
        <f t="shared" si="2"/>
        <v>0</v>
      </c>
      <c r="AB26" s="107">
        <f t="shared" si="3"/>
        <v>0</v>
      </c>
      <c r="AC26" s="108">
        <f t="shared" si="43"/>
        <v>0</v>
      </c>
      <c r="AD26" s="106">
        <f t="shared" si="4"/>
        <v>0</v>
      </c>
      <c r="AE26" s="107">
        <f t="shared" si="5"/>
        <v>47.5</v>
      </c>
      <c r="AF26" s="107">
        <f t="shared" si="31"/>
        <v>10</v>
      </c>
      <c r="AG26" s="368">
        <f>IF(AND($W26&gt;$O$83, SUM($AA$17:AA25)&gt;0,SUM($AG$17:AG25)&lt;$O$79),$O$82,0)</f>
        <v>0</v>
      </c>
      <c r="AH26" s="107">
        <f>IF(SUM($AA$18:$AA25)&gt;0,($O$79-SUM($AG$18:$AG25))*$F$88,0)</f>
        <v>0</v>
      </c>
      <c r="AI26" s="108">
        <f t="shared" si="32"/>
        <v>57.5</v>
      </c>
      <c r="AJ26" s="113">
        <f t="shared" si="6"/>
        <v>-57.5</v>
      </c>
      <c r="AK26" s="115">
        <f t="shared" si="33"/>
        <v>0</v>
      </c>
      <c r="AL26" s="277"/>
      <c r="AM26" s="264">
        <f t="shared" si="7"/>
        <v>-41.163926670346342</v>
      </c>
      <c r="AN26" s="278"/>
      <c r="AO26" s="266">
        <f t="shared" si="8"/>
        <v>0</v>
      </c>
      <c r="AP26" s="263">
        <f t="shared" si="9"/>
        <v>0</v>
      </c>
      <c r="AQ26" s="263">
        <f t="shared" si="10"/>
        <v>0</v>
      </c>
      <c r="AR26" s="260">
        <f t="shared" si="11"/>
        <v>0</v>
      </c>
      <c r="AS26" s="261">
        <f t="shared" si="44"/>
        <v>0</v>
      </c>
      <c r="AT26" s="260">
        <f t="shared" si="12"/>
        <v>0</v>
      </c>
      <c r="AU26" s="260">
        <f t="shared" si="13"/>
        <v>0</v>
      </c>
      <c r="AV26" s="260">
        <f t="shared" si="14"/>
        <v>0</v>
      </c>
      <c r="AW26" s="260">
        <f t="shared" si="15"/>
        <v>47.5</v>
      </c>
      <c r="AX26" s="368">
        <f t="shared" si="35"/>
        <v>10</v>
      </c>
      <c r="AY26" s="260">
        <f t="shared" si="16"/>
        <v>0</v>
      </c>
      <c r="AZ26" s="368">
        <f>IF(AND($W26&gt;$P$83, SUM($AQ$17:AQ25)&gt;0,SUM($AZ$17:AZ25)&lt;$P$79),$P$82,0)</f>
        <v>0</v>
      </c>
      <c r="BA26" s="107">
        <f>IF(SUM($AQ$18:$AQ25)&gt;0,($P$79-SUM($AZ$18:$AZ25))*$F$88,0)</f>
        <v>0</v>
      </c>
      <c r="BB26" s="261">
        <f t="shared" si="36"/>
        <v>57.5</v>
      </c>
      <c r="BC26" s="263">
        <f t="shared" si="37"/>
        <v>-57.5</v>
      </c>
      <c r="BD26" s="264">
        <f t="shared" si="17"/>
        <v>-41.163926670346342</v>
      </c>
      <c r="BE26" s="279"/>
      <c r="BF26" s="180">
        <f t="shared" si="38"/>
        <v>0.71589437687558855</v>
      </c>
      <c r="BH26" s="266">
        <f t="shared" si="39"/>
        <v>0</v>
      </c>
      <c r="BI26" s="266">
        <f t="shared" si="39"/>
        <v>0</v>
      </c>
      <c r="BJ26" s="263">
        <f t="shared" si="39"/>
        <v>0</v>
      </c>
      <c r="BK26" s="263">
        <f t="shared" si="39"/>
        <v>47.5</v>
      </c>
      <c r="BL26" s="263">
        <f t="shared" si="40"/>
        <v>0</v>
      </c>
      <c r="BM26" s="260">
        <f t="shared" si="18"/>
        <v>0</v>
      </c>
      <c r="BN26" s="264">
        <f t="shared" si="45"/>
        <v>47.5</v>
      </c>
      <c r="BO26" s="263">
        <f t="shared" si="20"/>
        <v>0</v>
      </c>
      <c r="BP26" s="263">
        <f t="shared" si="21"/>
        <v>47.5</v>
      </c>
      <c r="BQ26" s="263">
        <f t="shared" si="22"/>
        <v>0</v>
      </c>
      <c r="BR26" s="263">
        <f t="shared" si="23"/>
        <v>0</v>
      </c>
      <c r="BS26" s="263">
        <f t="shared" si="24"/>
        <v>0</v>
      </c>
      <c r="BT26" s="107">
        <f t="shared" si="41"/>
        <v>0</v>
      </c>
      <c r="BU26" s="264">
        <f t="shared" si="46"/>
        <v>47.5</v>
      </c>
      <c r="BV26" s="264">
        <f t="shared" si="25"/>
        <v>0</v>
      </c>
      <c r="BW26" s="265"/>
      <c r="BX26" s="361">
        <f t="shared" si="26"/>
        <v>0</v>
      </c>
      <c r="BZ26" s="21"/>
    </row>
    <row r="27" spans="1:78" ht="15.75" customHeight="1" x14ac:dyDescent="0.45">
      <c r="C27" s="21" t="s">
        <v>58</v>
      </c>
      <c r="D27" s="191" t="s">
        <v>25</v>
      </c>
      <c r="F27" s="154">
        <f>事業費用概算!J33</f>
        <v>1.9999999999999997E-2</v>
      </c>
      <c r="V27" s="294">
        <f t="shared" si="27"/>
        <v>49765</v>
      </c>
      <c r="W27" s="366">
        <f t="shared" si="28"/>
        <v>10</v>
      </c>
      <c r="X27" s="366" t="str">
        <f t="shared" si="29"/>
        <v>維持管理・運営期間</v>
      </c>
      <c r="Y27" s="106">
        <f t="shared" si="0"/>
        <v>0</v>
      </c>
      <c r="Z27" s="107">
        <f t="shared" si="1"/>
        <v>0</v>
      </c>
      <c r="AA27" s="107">
        <f t="shared" si="2"/>
        <v>0</v>
      </c>
      <c r="AB27" s="107">
        <f t="shared" si="3"/>
        <v>0</v>
      </c>
      <c r="AC27" s="108">
        <f t="shared" si="43"/>
        <v>0</v>
      </c>
      <c r="AD27" s="106">
        <f t="shared" si="4"/>
        <v>0</v>
      </c>
      <c r="AE27" s="107">
        <f t="shared" si="5"/>
        <v>47.5</v>
      </c>
      <c r="AF27" s="107">
        <f t="shared" si="31"/>
        <v>10</v>
      </c>
      <c r="AG27" s="368">
        <f>IF(AND($W27&gt;$O$83, SUM($AA$17:AA26)&gt;0,SUM($AG$17:AG26)&lt;$O$79),$O$82,0)</f>
        <v>0</v>
      </c>
      <c r="AH27" s="107">
        <f>IF(SUM($AA$18:$AA26)&gt;0,($O$79-SUM($AG$18:$AG26))*$F$88,0)</f>
        <v>0</v>
      </c>
      <c r="AI27" s="108">
        <f t="shared" si="32"/>
        <v>57.5</v>
      </c>
      <c r="AJ27" s="113">
        <f t="shared" si="6"/>
        <v>-57.5</v>
      </c>
      <c r="AK27" s="115">
        <f t="shared" si="33"/>
        <v>0</v>
      </c>
      <c r="AL27" s="277"/>
      <c r="AM27" s="264">
        <f t="shared" si="7"/>
        <v>-39.663305182087257</v>
      </c>
      <c r="AN27" s="278"/>
      <c r="AO27" s="266">
        <f t="shared" si="8"/>
        <v>0</v>
      </c>
      <c r="AP27" s="263">
        <f t="shared" si="9"/>
        <v>0</v>
      </c>
      <c r="AQ27" s="263">
        <f t="shared" si="10"/>
        <v>0</v>
      </c>
      <c r="AR27" s="260">
        <f t="shared" si="11"/>
        <v>0</v>
      </c>
      <c r="AS27" s="261">
        <f t="shared" si="44"/>
        <v>0</v>
      </c>
      <c r="AT27" s="260">
        <f t="shared" si="12"/>
        <v>0</v>
      </c>
      <c r="AU27" s="260">
        <f t="shared" si="13"/>
        <v>0</v>
      </c>
      <c r="AV27" s="260">
        <f t="shared" si="14"/>
        <v>0</v>
      </c>
      <c r="AW27" s="260">
        <f t="shared" si="15"/>
        <v>47.5</v>
      </c>
      <c r="AX27" s="368">
        <f t="shared" si="35"/>
        <v>10</v>
      </c>
      <c r="AY27" s="260">
        <f t="shared" si="16"/>
        <v>0</v>
      </c>
      <c r="AZ27" s="368">
        <f>IF(AND($W27&gt;$P$83, SUM($AQ$17:AQ26)&gt;0,SUM($AZ$17:AZ26)&lt;$P$79),$P$82,0)</f>
        <v>0</v>
      </c>
      <c r="BA27" s="107">
        <f>IF(SUM($AQ$18:$AQ26)&gt;0,($P$79-SUM($AZ$18:$AZ26))*$F$88,0)</f>
        <v>0</v>
      </c>
      <c r="BB27" s="261">
        <f t="shared" si="36"/>
        <v>57.5</v>
      </c>
      <c r="BC27" s="263">
        <f t="shared" si="37"/>
        <v>-57.5</v>
      </c>
      <c r="BD27" s="264">
        <f t="shared" si="17"/>
        <v>-39.663305182087257</v>
      </c>
      <c r="BE27" s="279"/>
      <c r="BF27" s="180">
        <f t="shared" si="38"/>
        <v>0.68979661186238705</v>
      </c>
      <c r="BH27" s="266">
        <f t="shared" si="39"/>
        <v>0</v>
      </c>
      <c r="BI27" s="266">
        <f t="shared" si="39"/>
        <v>0</v>
      </c>
      <c r="BJ27" s="263">
        <f t="shared" si="39"/>
        <v>0</v>
      </c>
      <c r="BK27" s="263">
        <f t="shared" si="39"/>
        <v>47.5</v>
      </c>
      <c r="BL27" s="263">
        <f t="shared" si="40"/>
        <v>0</v>
      </c>
      <c r="BM27" s="260">
        <f t="shared" si="18"/>
        <v>0</v>
      </c>
      <c r="BN27" s="264">
        <f t="shared" si="45"/>
        <v>47.5</v>
      </c>
      <c r="BO27" s="263">
        <f t="shared" si="20"/>
        <v>0</v>
      </c>
      <c r="BP27" s="263">
        <f t="shared" si="21"/>
        <v>47.5</v>
      </c>
      <c r="BQ27" s="263">
        <f t="shared" si="22"/>
        <v>0</v>
      </c>
      <c r="BR27" s="263">
        <f t="shared" si="23"/>
        <v>0</v>
      </c>
      <c r="BS27" s="263">
        <f t="shared" si="24"/>
        <v>0</v>
      </c>
      <c r="BT27" s="107">
        <f t="shared" si="41"/>
        <v>0</v>
      </c>
      <c r="BU27" s="264">
        <f t="shared" si="46"/>
        <v>47.5</v>
      </c>
      <c r="BV27" s="264">
        <f t="shared" si="25"/>
        <v>0</v>
      </c>
      <c r="BW27" s="265"/>
      <c r="BX27" s="361">
        <f t="shared" si="26"/>
        <v>0</v>
      </c>
      <c r="BZ27" s="21"/>
    </row>
    <row r="28" spans="1:78" ht="15.75" customHeight="1" x14ac:dyDescent="0.55000000000000004">
      <c r="V28" s="294">
        <f t="shared" si="27"/>
        <v>50130</v>
      </c>
      <c r="W28" s="366">
        <f t="shared" si="28"/>
        <v>11</v>
      </c>
      <c r="X28" s="366" t="str">
        <f t="shared" si="29"/>
        <v>維持管理・運営期間</v>
      </c>
      <c r="Y28" s="106">
        <f t="shared" si="0"/>
        <v>0</v>
      </c>
      <c r="Z28" s="107">
        <f t="shared" si="1"/>
        <v>0</v>
      </c>
      <c r="AA28" s="107">
        <f t="shared" si="2"/>
        <v>0</v>
      </c>
      <c r="AB28" s="107">
        <f t="shared" si="3"/>
        <v>0</v>
      </c>
      <c r="AC28" s="108">
        <f t="shared" si="43"/>
        <v>0</v>
      </c>
      <c r="AD28" s="106">
        <f t="shared" si="4"/>
        <v>0</v>
      </c>
      <c r="AE28" s="107">
        <f t="shared" si="5"/>
        <v>47.5</v>
      </c>
      <c r="AF28" s="107">
        <f t="shared" si="31"/>
        <v>10</v>
      </c>
      <c r="AG28" s="368">
        <f>IF(AND($W28&gt;$O$83, SUM($AA$17:AA27)&gt;0,SUM($AG$17:AG27)&lt;$O$79),$O$82,0)</f>
        <v>0</v>
      </c>
      <c r="AH28" s="107">
        <f>IF(SUM($AA$18:$AA27)&gt;0,($O$79-SUM($AG$18:$AG27))*$F$88,0)</f>
        <v>0</v>
      </c>
      <c r="AI28" s="108">
        <f t="shared" si="32"/>
        <v>57.5</v>
      </c>
      <c r="AJ28" s="113">
        <f t="shared" si="6"/>
        <v>-57.5</v>
      </c>
      <c r="AK28" s="115">
        <f t="shared" si="33"/>
        <v>0</v>
      </c>
      <c r="AL28" s="277"/>
      <c r="AM28" s="264">
        <f t="shared" si="7"/>
        <v>-38.217388505374906</v>
      </c>
      <c r="AN28" s="278"/>
      <c r="AO28" s="266">
        <f t="shared" si="8"/>
        <v>0</v>
      </c>
      <c r="AP28" s="263">
        <f t="shared" si="9"/>
        <v>0</v>
      </c>
      <c r="AQ28" s="263">
        <f t="shared" si="10"/>
        <v>0</v>
      </c>
      <c r="AR28" s="260">
        <f t="shared" si="11"/>
        <v>0</v>
      </c>
      <c r="AS28" s="261">
        <f t="shared" si="44"/>
        <v>0</v>
      </c>
      <c r="AT28" s="260">
        <f t="shared" si="12"/>
        <v>0</v>
      </c>
      <c r="AU28" s="260">
        <f t="shared" si="13"/>
        <v>0</v>
      </c>
      <c r="AV28" s="260">
        <f t="shared" si="14"/>
        <v>0</v>
      </c>
      <c r="AW28" s="260">
        <f t="shared" si="15"/>
        <v>47.5</v>
      </c>
      <c r="AX28" s="368">
        <f t="shared" si="35"/>
        <v>10</v>
      </c>
      <c r="AY28" s="260">
        <f t="shared" si="16"/>
        <v>0</v>
      </c>
      <c r="AZ28" s="368">
        <f>IF(AND($W28&gt;$P$83, SUM($AQ$17:AQ27)&gt;0,SUM($AZ$17:AZ27)&lt;$P$79),$P$82,0)</f>
        <v>0</v>
      </c>
      <c r="BA28" s="107">
        <f>IF(SUM($AQ$18:$AQ27)&gt;0,($P$79-SUM($AZ$18:$AZ27))*$F$88,0)</f>
        <v>0</v>
      </c>
      <c r="BB28" s="261">
        <f t="shared" si="36"/>
        <v>57.5</v>
      </c>
      <c r="BC28" s="263">
        <f t="shared" si="37"/>
        <v>-57.5</v>
      </c>
      <c r="BD28" s="264">
        <f t="shared" si="17"/>
        <v>-38.217388505374906</v>
      </c>
      <c r="BE28" s="279"/>
      <c r="BF28" s="180">
        <f t="shared" si="38"/>
        <v>0.66465023487608532</v>
      </c>
      <c r="BH28" s="266">
        <f t="shared" si="39"/>
        <v>0</v>
      </c>
      <c r="BI28" s="266">
        <f t="shared" si="39"/>
        <v>0</v>
      </c>
      <c r="BJ28" s="263">
        <f t="shared" si="39"/>
        <v>0</v>
      </c>
      <c r="BK28" s="263">
        <f t="shared" si="39"/>
        <v>47.5</v>
      </c>
      <c r="BL28" s="263">
        <f t="shared" si="40"/>
        <v>0</v>
      </c>
      <c r="BM28" s="260">
        <f t="shared" si="18"/>
        <v>0</v>
      </c>
      <c r="BN28" s="264">
        <f t="shared" si="45"/>
        <v>47.5</v>
      </c>
      <c r="BO28" s="263">
        <f t="shared" si="20"/>
        <v>0</v>
      </c>
      <c r="BP28" s="263">
        <f t="shared" si="21"/>
        <v>47.5</v>
      </c>
      <c r="BQ28" s="263">
        <f t="shared" si="22"/>
        <v>0</v>
      </c>
      <c r="BR28" s="263">
        <f t="shared" si="23"/>
        <v>0</v>
      </c>
      <c r="BS28" s="263">
        <f t="shared" si="24"/>
        <v>0</v>
      </c>
      <c r="BT28" s="107">
        <f t="shared" si="41"/>
        <v>0</v>
      </c>
      <c r="BU28" s="264">
        <f t="shared" si="46"/>
        <v>47.5</v>
      </c>
      <c r="BV28" s="264">
        <f t="shared" si="25"/>
        <v>0</v>
      </c>
      <c r="BW28" s="265"/>
      <c r="BX28" s="361">
        <f t="shared" si="26"/>
        <v>0</v>
      </c>
      <c r="BZ28" s="21"/>
    </row>
    <row r="29" spans="1:78" ht="15.75" customHeight="1" thickBot="1" x14ac:dyDescent="0.6">
      <c r="A29" s="210" t="s">
        <v>17</v>
      </c>
      <c r="B29" s="225"/>
      <c r="C29" s="202"/>
      <c r="D29" s="203"/>
      <c r="E29" s="202"/>
      <c r="F29" s="202"/>
      <c r="G29" s="202"/>
      <c r="H29" s="204"/>
      <c r="I29" s="219" t="s">
        <v>150</v>
      </c>
      <c r="J29" s="225"/>
      <c r="K29" s="202"/>
      <c r="L29" s="202"/>
      <c r="M29" s="202"/>
      <c r="N29" s="203"/>
      <c r="O29" s="202"/>
      <c r="P29" s="202"/>
      <c r="Q29" s="202"/>
      <c r="R29" s="202"/>
      <c r="S29" s="202"/>
      <c r="T29" s="203"/>
      <c r="U29" s="202"/>
      <c r="V29" s="294">
        <f t="shared" si="27"/>
        <v>50495</v>
      </c>
      <c r="W29" s="366">
        <f t="shared" si="28"/>
        <v>12</v>
      </c>
      <c r="X29" s="366" t="str">
        <f t="shared" si="29"/>
        <v>維持管理・運営期間</v>
      </c>
      <c r="Y29" s="106">
        <f t="shared" si="0"/>
        <v>0</v>
      </c>
      <c r="Z29" s="107">
        <f t="shared" si="1"/>
        <v>0</v>
      </c>
      <c r="AA29" s="107">
        <f t="shared" si="2"/>
        <v>0</v>
      </c>
      <c r="AB29" s="107">
        <f t="shared" si="3"/>
        <v>0</v>
      </c>
      <c r="AC29" s="108">
        <f t="shared" si="43"/>
        <v>0</v>
      </c>
      <c r="AD29" s="106">
        <f t="shared" si="4"/>
        <v>0</v>
      </c>
      <c r="AE29" s="107">
        <f t="shared" si="5"/>
        <v>47.5</v>
      </c>
      <c r="AF29" s="107">
        <f t="shared" si="31"/>
        <v>10</v>
      </c>
      <c r="AG29" s="368">
        <f>IF(AND($W29&gt;$O$83, SUM($AA$17:AA28)&gt;0,SUM($AG$17:AG28)&lt;$O$79),$O$82,0)</f>
        <v>0</v>
      </c>
      <c r="AH29" s="107">
        <f>IF(SUM($AA$18:$AA28)&gt;0,($O$79-SUM($AG$18:$AG28))*$F$88,0)</f>
        <v>0</v>
      </c>
      <c r="AI29" s="108">
        <f t="shared" si="32"/>
        <v>57.5</v>
      </c>
      <c r="AJ29" s="113">
        <f t="shared" si="6"/>
        <v>-57.5</v>
      </c>
      <c r="AK29" s="115">
        <f t="shared" si="33"/>
        <v>0</v>
      </c>
      <c r="AL29" s="277"/>
      <c r="AM29" s="264">
        <f t="shared" si="7"/>
        <v>-36.824182388874242</v>
      </c>
      <c r="AN29" s="278"/>
      <c r="AO29" s="266">
        <f t="shared" si="8"/>
        <v>0</v>
      </c>
      <c r="AP29" s="263">
        <f t="shared" si="9"/>
        <v>0</v>
      </c>
      <c r="AQ29" s="263">
        <f t="shared" si="10"/>
        <v>0</v>
      </c>
      <c r="AR29" s="260">
        <f t="shared" si="11"/>
        <v>0</v>
      </c>
      <c r="AS29" s="261">
        <f t="shared" si="44"/>
        <v>0</v>
      </c>
      <c r="AT29" s="260">
        <f t="shared" si="12"/>
        <v>0</v>
      </c>
      <c r="AU29" s="260">
        <f t="shared" si="13"/>
        <v>0</v>
      </c>
      <c r="AV29" s="260">
        <f t="shared" si="14"/>
        <v>0</v>
      </c>
      <c r="AW29" s="260">
        <f t="shared" si="15"/>
        <v>47.5</v>
      </c>
      <c r="AX29" s="368">
        <f t="shared" si="35"/>
        <v>10</v>
      </c>
      <c r="AY29" s="260">
        <f t="shared" si="16"/>
        <v>0</v>
      </c>
      <c r="AZ29" s="368">
        <f>IF(AND($W29&gt;$P$83, SUM($AQ$17:AQ28)&gt;0,SUM($AZ$17:AZ28)&lt;$P$79),$P$82,0)</f>
        <v>0</v>
      </c>
      <c r="BA29" s="107">
        <f>IF(SUM($AQ$18:$AQ28)&gt;0,($P$79-SUM($AZ$18:$AZ28))*$F$88,0)</f>
        <v>0</v>
      </c>
      <c r="BB29" s="261">
        <f t="shared" si="36"/>
        <v>57.5</v>
      </c>
      <c r="BC29" s="263">
        <f t="shared" si="37"/>
        <v>-57.5</v>
      </c>
      <c r="BD29" s="264">
        <f t="shared" si="17"/>
        <v>-36.824182388874242</v>
      </c>
      <c r="BE29" s="279"/>
      <c r="BF29" s="180">
        <f t="shared" si="38"/>
        <v>0.64042056328476937</v>
      </c>
      <c r="BH29" s="266">
        <f t="shared" si="39"/>
        <v>0</v>
      </c>
      <c r="BI29" s="266">
        <f t="shared" si="39"/>
        <v>0</v>
      </c>
      <c r="BJ29" s="263">
        <f t="shared" si="39"/>
        <v>0</v>
      </c>
      <c r="BK29" s="263">
        <f t="shared" si="39"/>
        <v>47.5</v>
      </c>
      <c r="BL29" s="263">
        <f t="shared" si="40"/>
        <v>0</v>
      </c>
      <c r="BM29" s="260">
        <f t="shared" si="18"/>
        <v>0</v>
      </c>
      <c r="BN29" s="264">
        <f t="shared" si="45"/>
        <v>47.5</v>
      </c>
      <c r="BO29" s="263">
        <f t="shared" si="20"/>
        <v>0</v>
      </c>
      <c r="BP29" s="263">
        <f t="shared" si="21"/>
        <v>47.5</v>
      </c>
      <c r="BQ29" s="263">
        <f t="shared" si="22"/>
        <v>0</v>
      </c>
      <c r="BR29" s="263">
        <f t="shared" si="23"/>
        <v>0</v>
      </c>
      <c r="BS29" s="263">
        <f t="shared" si="24"/>
        <v>0</v>
      </c>
      <c r="BT29" s="107">
        <f t="shared" si="41"/>
        <v>0</v>
      </c>
      <c r="BU29" s="264">
        <f t="shared" si="46"/>
        <v>47.5</v>
      </c>
      <c r="BV29" s="264">
        <f t="shared" si="25"/>
        <v>0</v>
      </c>
      <c r="BW29" s="265"/>
      <c r="BX29" s="361">
        <f t="shared" si="26"/>
        <v>0</v>
      </c>
      <c r="BZ29" s="21"/>
    </row>
    <row r="30" spans="1:78" ht="15.75" customHeight="1" x14ac:dyDescent="0.55000000000000004">
      <c r="V30" s="294">
        <f t="shared" si="27"/>
        <v>50860</v>
      </c>
      <c r="W30" s="366">
        <f t="shared" si="28"/>
        <v>13</v>
      </c>
      <c r="X30" s="366" t="str">
        <f t="shared" si="29"/>
        <v>維持管理・運営期間</v>
      </c>
      <c r="Y30" s="106">
        <f t="shared" si="0"/>
        <v>0</v>
      </c>
      <c r="Z30" s="107">
        <f t="shared" si="1"/>
        <v>0</v>
      </c>
      <c r="AA30" s="107">
        <f t="shared" si="2"/>
        <v>0</v>
      </c>
      <c r="AB30" s="107">
        <f t="shared" si="3"/>
        <v>0</v>
      </c>
      <c r="AC30" s="108">
        <f t="shared" si="43"/>
        <v>0</v>
      </c>
      <c r="AD30" s="106">
        <f t="shared" si="4"/>
        <v>0</v>
      </c>
      <c r="AE30" s="107">
        <f t="shared" si="5"/>
        <v>47.5</v>
      </c>
      <c r="AF30" s="107">
        <f t="shared" si="31"/>
        <v>10</v>
      </c>
      <c r="AG30" s="368">
        <f>IF(AND($W30&gt;$O$83, SUM($AA$17:AA29)&gt;0,SUM($AG$17:AG29)&lt;$O$79),$O$82,0)</f>
        <v>0</v>
      </c>
      <c r="AH30" s="107">
        <f>IF(SUM($AA$18:$AA29)&gt;0,($O$79-SUM($AG$18:$AG29))*$F$88,0)</f>
        <v>0</v>
      </c>
      <c r="AI30" s="108">
        <f t="shared" si="32"/>
        <v>57.5</v>
      </c>
      <c r="AJ30" s="113">
        <f t="shared" si="6"/>
        <v>-57.5</v>
      </c>
      <c r="AK30" s="115">
        <f t="shared" si="33"/>
        <v>0</v>
      </c>
      <c r="AL30" s="277"/>
      <c r="AM30" s="264">
        <f t="shared" si="7"/>
        <v>-35.481765281224398</v>
      </c>
      <c r="AN30" s="278"/>
      <c r="AO30" s="266">
        <f t="shared" si="8"/>
        <v>0</v>
      </c>
      <c r="AP30" s="263">
        <f t="shared" si="9"/>
        <v>0</v>
      </c>
      <c r="AQ30" s="263">
        <f t="shared" si="10"/>
        <v>0</v>
      </c>
      <c r="AR30" s="260">
        <f t="shared" si="11"/>
        <v>0</v>
      </c>
      <c r="AS30" s="261">
        <f t="shared" si="44"/>
        <v>0</v>
      </c>
      <c r="AT30" s="260">
        <f t="shared" si="12"/>
        <v>0</v>
      </c>
      <c r="AU30" s="260">
        <f t="shared" si="13"/>
        <v>0</v>
      </c>
      <c r="AV30" s="260">
        <f t="shared" si="14"/>
        <v>0</v>
      </c>
      <c r="AW30" s="260">
        <f t="shared" si="15"/>
        <v>47.5</v>
      </c>
      <c r="AX30" s="368">
        <f t="shared" si="35"/>
        <v>10</v>
      </c>
      <c r="AY30" s="260">
        <f t="shared" si="16"/>
        <v>0</v>
      </c>
      <c r="AZ30" s="368">
        <f>IF(AND($W30&gt;$P$83, SUM($AQ$17:AQ29)&gt;0,SUM($AZ$17:AZ29)&lt;$P$79),$P$82,0)</f>
        <v>0</v>
      </c>
      <c r="BA30" s="107">
        <f>IF(SUM($AQ$18:$AQ29)&gt;0,($P$79-SUM($AZ$18:$AZ29))*$F$88,0)</f>
        <v>0</v>
      </c>
      <c r="BB30" s="261">
        <f t="shared" si="36"/>
        <v>57.5</v>
      </c>
      <c r="BC30" s="263">
        <f t="shared" si="37"/>
        <v>-57.5</v>
      </c>
      <c r="BD30" s="264">
        <f t="shared" si="17"/>
        <v>-35.481765281224398</v>
      </c>
      <c r="BE30" s="279"/>
      <c r="BF30" s="180">
        <f t="shared" si="38"/>
        <v>0.61707417880390258</v>
      </c>
      <c r="BH30" s="266">
        <f t="shared" si="39"/>
        <v>0</v>
      </c>
      <c r="BI30" s="266">
        <f t="shared" si="39"/>
        <v>0</v>
      </c>
      <c r="BJ30" s="263">
        <f t="shared" si="39"/>
        <v>0</v>
      </c>
      <c r="BK30" s="263">
        <f t="shared" si="39"/>
        <v>47.5</v>
      </c>
      <c r="BL30" s="263">
        <f t="shared" si="40"/>
        <v>0</v>
      </c>
      <c r="BM30" s="260">
        <f t="shared" si="18"/>
        <v>0</v>
      </c>
      <c r="BN30" s="264">
        <f t="shared" si="45"/>
        <v>47.5</v>
      </c>
      <c r="BO30" s="263">
        <f t="shared" si="20"/>
        <v>0</v>
      </c>
      <c r="BP30" s="263">
        <f t="shared" si="21"/>
        <v>47.5</v>
      </c>
      <c r="BQ30" s="263">
        <f t="shared" si="22"/>
        <v>0</v>
      </c>
      <c r="BR30" s="263">
        <f t="shared" si="23"/>
        <v>0</v>
      </c>
      <c r="BS30" s="263">
        <f t="shared" si="24"/>
        <v>0</v>
      </c>
      <c r="BT30" s="107">
        <f t="shared" si="41"/>
        <v>0</v>
      </c>
      <c r="BU30" s="264">
        <f t="shared" si="46"/>
        <v>47.5</v>
      </c>
      <c r="BV30" s="264">
        <f t="shared" si="25"/>
        <v>0</v>
      </c>
      <c r="BW30" s="265"/>
      <c r="BX30" s="361">
        <f t="shared" si="26"/>
        <v>0</v>
      </c>
      <c r="BZ30" s="21"/>
    </row>
    <row r="31" spans="1:78" ht="15.75" customHeight="1" x14ac:dyDescent="0.55000000000000004">
      <c r="B31" s="223" t="s">
        <v>151</v>
      </c>
      <c r="E31" s="21" t="s">
        <v>55</v>
      </c>
      <c r="F31" s="21" t="s">
        <v>152</v>
      </c>
      <c r="I31" s="214"/>
      <c r="J31" s="223" t="s">
        <v>151</v>
      </c>
      <c r="O31" s="21" t="s">
        <v>55</v>
      </c>
      <c r="P31" s="21" t="s">
        <v>98</v>
      </c>
      <c r="V31" s="294">
        <f t="shared" si="27"/>
        <v>51226</v>
      </c>
      <c r="W31" s="366">
        <f t="shared" si="28"/>
        <v>14</v>
      </c>
      <c r="X31" s="366" t="str">
        <f t="shared" si="29"/>
        <v>維持管理・運営期間</v>
      </c>
      <c r="Y31" s="106">
        <f t="shared" si="0"/>
        <v>0</v>
      </c>
      <c r="Z31" s="107">
        <f t="shared" si="1"/>
        <v>0</v>
      </c>
      <c r="AA31" s="107">
        <f t="shared" si="2"/>
        <v>0</v>
      </c>
      <c r="AB31" s="107">
        <f t="shared" si="3"/>
        <v>0</v>
      </c>
      <c r="AC31" s="108">
        <f t="shared" si="43"/>
        <v>0</v>
      </c>
      <c r="AD31" s="106">
        <f t="shared" si="4"/>
        <v>0</v>
      </c>
      <c r="AE31" s="107">
        <f t="shared" si="5"/>
        <v>47.5</v>
      </c>
      <c r="AF31" s="107">
        <f t="shared" si="31"/>
        <v>10</v>
      </c>
      <c r="AG31" s="368">
        <f>IF(AND($W31&gt;$O$83, SUM($AA$17:AA30)&gt;0,SUM($AG$17:AG30)&lt;$O$79),$O$82,0)</f>
        <v>0</v>
      </c>
      <c r="AH31" s="107">
        <f>IF(SUM($AA$18:$AA30)&gt;0,($O$79-SUM($AG$18:$AG30))*$F$88,0)</f>
        <v>0</v>
      </c>
      <c r="AI31" s="108">
        <f t="shared" si="32"/>
        <v>57.5</v>
      </c>
      <c r="AJ31" s="113">
        <f t="shared" si="6"/>
        <v>-57.5</v>
      </c>
      <c r="AK31" s="115">
        <f t="shared" si="33"/>
        <v>0</v>
      </c>
      <c r="AL31" s="277"/>
      <c r="AM31" s="264">
        <f t="shared" si="7"/>
        <v>-34.188285680777852</v>
      </c>
      <c r="AN31" s="278"/>
      <c r="AO31" s="266">
        <f t="shared" si="8"/>
        <v>0</v>
      </c>
      <c r="AP31" s="263">
        <f t="shared" si="9"/>
        <v>0</v>
      </c>
      <c r="AQ31" s="263">
        <f t="shared" si="10"/>
        <v>0</v>
      </c>
      <c r="AR31" s="260">
        <f t="shared" si="11"/>
        <v>0</v>
      </c>
      <c r="AS31" s="261">
        <f t="shared" si="44"/>
        <v>0</v>
      </c>
      <c r="AT31" s="260">
        <f t="shared" si="12"/>
        <v>0</v>
      </c>
      <c r="AU31" s="260">
        <f t="shared" si="13"/>
        <v>0</v>
      </c>
      <c r="AV31" s="260">
        <f t="shared" si="14"/>
        <v>0</v>
      </c>
      <c r="AW31" s="260">
        <f t="shared" si="15"/>
        <v>47.5</v>
      </c>
      <c r="AX31" s="368">
        <f t="shared" si="35"/>
        <v>10</v>
      </c>
      <c r="AY31" s="260">
        <f t="shared" si="16"/>
        <v>0</v>
      </c>
      <c r="AZ31" s="368">
        <f>IF(AND($W31&gt;$P$83, SUM($AQ$17:AQ30)&gt;0,SUM($AZ$17:AZ30)&lt;$P$79),$P$82,0)</f>
        <v>0</v>
      </c>
      <c r="BA31" s="107">
        <f>IF(SUM($AQ$18:$AQ30)&gt;0,($P$79-SUM($AZ$18:$AZ30))*$F$88,0)</f>
        <v>0</v>
      </c>
      <c r="BB31" s="261">
        <f t="shared" si="36"/>
        <v>57.5</v>
      </c>
      <c r="BC31" s="263">
        <f t="shared" si="37"/>
        <v>-57.5</v>
      </c>
      <c r="BD31" s="264">
        <f t="shared" si="17"/>
        <v>-34.188285680777852</v>
      </c>
      <c r="BE31" s="279"/>
      <c r="BF31" s="180">
        <f t="shared" si="38"/>
        <v>0.59457888140483217</v>
      </c>
      <c r="BH31" s="266">
        <f t="shared" si="39"/>
        <v>0</v>
      </c>
      <c r="BI31" s="266">
        <f t="shared" si="39"/>
        <v>0</v>
      </c>
      <c r="BJ31" s="263">
        <f t="shared" si="39"/>
        <v>0</v>
      </c>
      <c r="BK31" s="263">
        <f t="shared" si="39"/>
        <v>47.5</v>
      </c>
      <c r="BL31" s="263">
        <f t="shared" si="40"/>
        <v>0</v>
      </c>
      <c r="BM31" s="260">
        <f t="shared" si="18"/>
        <v>0</v>
      </c>
      <c r="BN31" s="264">
        <f t="shared" si="45"/>
        <v>47.5</v>
      </c>
      <c r="BO31" s="263">
        <f t="shared" si="20"/>
        <v>0</v>
      </c>
      <c r="BP31" s="263">
        <f t="shared" si="21"/>
        <v>47.5</v>
      </c>
      <c r="BQ31" s="263">
        <f t="shared" si="22"/>
        <v>0</v>
      </c>
      <c r="BR31" s="263">
        <f t="shared" si="23"/>
        <v>0</v>
      </c>
      <c r="BS31" s="263">
        <f t="shared" si="24"/>
        <v>0</v>
      </c>
      <c r="BT31" s="107">
        <f t="shared" si="41"/>
        <v>0</v>
      </c>
      <c r="BU31" s="264">
        <f t="shared" si="46"/>
        <v>47.5</v>
      </c>
      <c r="BV31" s="264">
        <f t="shared" si="25"/>
        <v>0</v>
      </c>
      <c r="BW31" s="265"/>
      <c r="BX31" s="361">
        <f t="shared" si="26"/>
        <v>0</v>
      </c>
      <c r="BZ31" s="21"/>
    </row>
    <row r="32" spans="1:78" ht="15.75" customHeight="1" x14ac:dyDescent="0.45">
      <c r="C32" s="21" t="s">
        <v>153</v>
      </c>
      <c r="D32" s="191" t="s">
        <v>21</v>
      </c>
      <c r="E32" s="418"/>
      <c r="F32" s="418"/>
      <c r="H32" s="504" t="s">
        <v>323</v>
      </c>
      <c r="I32" s="21"/>
      <c r="K32" s="21" t="s">
        <v>154</v>
      </c>
      <c r="N32" s="191" t="s">
        <v>21</v>
      </c>
      <c r="O32" s="168">
        <f>E33*$F$65+E32</f>
        <v>0</v>
      </c>
      <c r="P32" s="168">
        <f>SUM(F32:F33)*(1-F66)</f>
        <v>0</v>
      </c>
      <c r="Q32" s="21" t="s">
        <v>155</v>
      </c>
      <c r="V32" s="294">
        <f t="shared" si="27"/>
        <v>51591</v>
      </c>
      <c r="W32" s="366">
        <f t="shared" si="28"/>
        <v>15</v>
      </c>
      <c r="X32" s="366" t="str">
        <f t="shared" si="29"/>
        <v>維持管理・運営期間</v>
      </c>
      <c r="Y32" s="106">
        <f t="shared" si="0"/>
        <v>0</v>
      </c>
      <c r="Z32" s="107">
        <f t="shared" si="1"/>
        <v>0</v>
      </c>
      <c r="AA32" s="107">
        <f t="shared" si="2"/>
        <v>0</v>
      </c>
      <c r="AB32" s="107">
        <f t="shared" si="3"/>
        <v>0</v>
      </c>
      <c r="AC32" s="108">
        <f t="shared" si="43"/>
        <v>0</v>
      </c>
      <c r="AD32" s="106">
        <f t="shared" si="4"/>
        <v>0</v>
      </c>
      <c r="AE32" s="107">
        <f t="shared" si="5"/>
        <v>47.5</v>
      </c>
      <c r="AF32" s="107">
        <f t="shared" si="31"/>
        <v>10</v>
      </c>
      <c r="AG32" s="368">
        <f>IF(AND($W32&gt;$O$83, SUM($AA$17:AA31)&gt;0,SUM($AG$17:AG31)&lt;$O$79),$O$82,0)</f>
        <v>0</v>
      </c>
      <c r="AH32" s="107">
        <f>IF(SUM($AA$18:$AA31)&gt;0,($O$79-SUM($AG$18:$AG31))*$F$88,0)</f>
        <v>0</v>
      </c>
      <c r="AI32" s="108">
        <f t="shared" si="32"/>
        <v>57.5</v>
      </c>
      <c r="AJ32" s="113">
        <f t="shared" si="6"/>
        <v>-57.5</v>
      </c>
      <c r="AK32" s="115">
        <f t="shared" si="33"/>
        <v>0</v>
      </c>
      <c r="AL32" s="277"/>
      <c r="AM32" s="264">
        <f t="shared" si="7"/>
        <v>-32.941959581954201</v>
      </c>
      <c r="AN32" s="278"/>
      <c r="AO32" s="266">
        <f t="shared" si="8"/>
        <v>0</v>
      </c>
      <c r="AP32" s="263">
        <f t="shared" si="9"/>
        <v>0</v>
      </c>
      <c r="AQ32" s="263">
        <f t="shared" si="10"/>
        <v>0</v>
      </c>
      <c r="AR32" s="260">
        <f t="shared" si="11"/>
        <v>0</v>
      </c>
      <c r="AS32" s="261">
        <f t="shared" si="44"/>
        <v>0</v>
      </c>
      <c r="AT32" s="260">
        <f t="shared" si="12"/>
        <v>0</v>
      </c>
      <c r="AU32" s="260">
        <f t="shared" si="13"/>
        <v>0</v>
      </c>
      <c r="AV32" s="260">
        <f t="shared" si="14"/>
        <v>0</v>
      </c>
      <c r="AW32" s="260">
        <f t="shared" si="15"/>
        <v>47.5</v>
      </c>
      <c r="AX32" s="368">
        <f t="shared" si="35"/>
        <v>10</v>
      </c>
      <c r="AY32" s="260">
        <f t="shared" si="16"/>
        <v>0</v>
      </c>
      <c r="AZ32" s="368">
        <f>IF(AND($W32&gt;$P$83, SUM($AQ$17:AQ31)&gt;0,SUM($AZ$17:AZ31)&lt;$P$79),$P$82,0)</f>
        <v>0</v>
      </c>
      <c r="BA32" s="107">
        <f>IF(SUM($AQ$18:$AQ31)&gt;0,($P$79-SUM($AZ$18:$AZ31))*$F$88,0)</f>
        <v>0</v>
      </c>
      <c r="BB32" s="261">
        <f t="shared" si="36"/>
        <v>57.5</v>
      </c>
      <c r="BC32" s="263">
        <f t="shared" si="37"/>
        <v>-57.5</v>
      </c>
      <c r="BD32" s="264">
        <f t="shared" si="17"/>
        <v>-32.941959581954201</v>
      </c>
      <c r="BE32" s="279"/>
      <c r="BF32" s="180">
        <f t="shared" si="38"/>
        <v>0.57290364490355128</v>
      </c>
      <c r="BH32" s="266">
        <f t="shared" si="39"/>
        <v>0</v>
      </c>
      <c r="BI32" s="266">
        <f t="shared" si="39"/>
        <v>0</v>
      </c>
      <c r="BJ32" s="263">
        <f t="shared" si="39"/>
        <v>0</v>
      </c>
      <c r="BK32" s="263">
        <f t="shared" si="39"/>
        <v>47.5</v>
      </c>
      <c r="BL32" s="263">
        <f t="shared" si="40"/>
        <v>0</v>
      </c>
      <c r="BM32" s="260">
        <f t="shared" si="18"/>
        <v>0</v>
      </c>
      <c r="BN32" s="264">
        <f t="shared" si="45"/>
        <v>47.5</v>
      </c>
      <c r="BO32" s="263">
        <f t="shared" si="20"/>
        <v>0</v>
      </c>
      <c r="BP32" s="263">
        <f t="shared" si="21"/>
        <v>47.5</v>
      </c>
      <c r="BQ32" s="263">
        <f t="shared" si="22"/>
        <v>0</v>
      </c>
      <c r="BR32" s="263">
        <f t="shared" si="23"/>
        <v>0</v>
      </c>
      <c r="BS32" s="263">
        <f t="shared" si="24"/>
        <v>0</v>
      </c>
      <c r="BT32" s="107">
        <f t="shared" si="41"/>
        <v>0</v>
      </c>
      <c r="BU32" s="264">
        <f t="shared" si="46"/>
        <v>47.5</v>
      </c>
      <c r="BV32" s="264">
        <f t="shared" si="25"/>
        <v>0</v>
      </c>
      <c r="BW32" s="265"/>
      <c r="BX32" s="361">
        <f t="shared" si="26"/>
        <v>0</v>
      </c>
      <c r="BZ32" s="21"/>
    </row>
    <row r="33" spans="2:78" ht="15.75" customHeight="1" x14ac:dyDescent="0.45">
      <c r="C33" s="21" t="s">
        <v>156</v>
      </c>
      <c r="D33" s="191" t="s">
        <v>21</v>
      </c>
      <c r="E33" s="418"/>
      <c r="F33" s="418"/>
      <c r="H33" s="504" t="s">
        <v>323</v>
      </c>
      <c r="I33" s="21"/>
      <c r="K33" s="119" t="s">
        <v>157</v>
      </c>
      <c r="M33" s="119"/>
      <c r="N33" s="191" t="s">
        <v>21</v>
      </c>
      <c r="O33" s="147">
        <f>O32*E35</f>
        <v>0</v>
      </c>
      <c r="P33" s="147">
        <f>$P32*F35</f>
        <v>0</v>
      </c>
      <c r="V33" s="294">
        <f t="shared" si="27"/>
        <v>51956</v>
      </c>
      <c r="W33" s="366">
        <f t="shared" si="28"/>
        <v>16</v>
      </c>
      <c r="X33" s="366" t="str">
        <f t="shared" si="29"/>
        <v>維持管理・運営期間</v>
      </c>
      <c r="Y33" s="106">
        <f t="shared" si="0"/>
        <v>0</v>
      </c>
      <c r="Z33" s="107">
        <f t="shared" si="1"/>
        <v>0</v>
      </c>
      <c r="AA33" s="107">
        <f t="shared" si="2"/>
        <v>0</v>
      </c>
      <c r="AB33" s="107">
        <f t="shared" si="3"/>
        <v>0</v>
      </c>
      <c r="AC33" s="108">
        <f t="shared" si="43"/>
        <v>0</v>
      </c>
      <c r="AD33" s="106">
        <f t="shared" si="4"/>
        <v>0</v>
      </c>
      <c r="AE33" s="107">
        <f t="shared" si="5"/>
        <v>47.5</v>
      </c>
      <c r="AF33" s="107">
        <f t="shared" si="31"/>
        <v>10</v>
      </c>
      <c r="AG33" s="368">
        <f>IF(AND($W33&gt;$O$83, SUM($AA$17:AA32)&gt;0,SUM($AG$17:AG32)&lt;$O$79),$O$82,0)</f>
        <v>0</v>
      </c>
      <c r="AH33" s="107">
        <f>IF(SUM($AA$18:$AA32)&gt;0,($O$79-SUM($AG$18:$AG32))*$F$88,0)</f>
        <v>0</v>
      </c>
      <c r="AI33" s="108">
        <f t="shared" si="32"/>
        <v>57.5</v>
      </c>
      <c r="AJ33" s="113">
        <f t="shared" si="6"/>
        <v>-57.5</v>
      </c>
      <c r="AK33" s="115">
        <f t="shared" si="33"/>
        <v>0</v>
      </c>
      <c r="AL33" s="277"/>
      <c r="AM33" s="264">
        <f t="shared" si="7"/>
        <v>-31.741068014686551</v>
      </c>
      <c r="AN33" s="278"/>
      <c r="AO33" s="266">
        <f t="shared" si="8"/>
        <v>0</v>
      </c>
      <c r="AP33" s="263">
        <f t="shared" si="9"/>
        <v>0</v>
      </c>
      <c r="AQ33" s="263">
        <f t="shared" si="10"/>
        <v>0</v>
      </c>
      <c r="AR33" s="260">
        <f t="shared" si="11"/>
        <v>0</v>
      </c>
      <c r="AS33" s="261">
        <f t="shared" si="44"/>
        <v>0</v>
      </c>
      <c r="AT33" s="260">
        <f t="shared" si="12"/>
        <v>0</v>
      </c>
      <c r="AU33" s="260">
        <f t="shared" si="13"/>
        <v>0</v>
      </c>
      <c r="AV33" s="260">
        <f t="shared" si="14"/>
        <v>0</v>
      </c>
      <c r="AW33" s="260">
        <f t="shared" si="15"/>
        <v>47.5</v>
      </c>
      <c r="AX33" s="368">
        <f t="shared" si="35"/>
        <v>10</v>
      </c>
      <c r="AY33" s="260">
        <f t="shared" si="16"/>
        <v>0</v>
      </c>
      <c r="AZ33" s="368">
        <f>IF(AND($W33&gt;$P$83, SUM($AQ$17:AQ32)&gt;0,SUM($AZ$17:AZ32)&lt;$P$79),$P$82,0)</f>
        <v>0</v>
      </c>
      <c r="BA33" s="107">
        <f>IF(SUM($AQ$18:$AQ32)&gt;0,($P$79-SUM($AZ$18:$AZ32))*$F$88,0)</f>
        <v>0</v>
      </c>
      <c r="BB33" s="261">
        <f t="shared" si="36"/>
        <v>57.5</v>
      </c>
      <c r="BC33" s="263">
        <f t="shared" si="37"/>
        <v>-57.5</v>
      </c>
      <c r="BD33" s="264">
        <f t="shared" si="17"/>
        <v>-31.741068014686551</v>
      </c>
      <c r="BE33" s="279"/>
      <c r="BF33" s="180">
        <f t="shared" si="38"/>
        <v>0.55201857416846178</v>
      </c>
      <c r="BH33" s="266">
        <f t="shared" si="39"/>
        <v>0</v>
      </c>
      <c r="BI33" s="266">
        <f t="shared" si="39"/>
        <v>0</v>
      </c>
      <c r="BJ33" s="263">
        <f t="shared" si="39"/>
        <v>0</v>
      </c>
      <c r="BK33" s="263">
        <f t="shared" si="39"/>
        <v>47.5</v>
      </c>
      <c r="BL33" s="263">
        <f t="shared" si="40"/>
        <v>0</v>
      </c>
      <c r="BM33" s="260">
        <f t="shared" si="18"/>
        <v>0</v>
      </c>
      <c r="BN33" s="264">
        <f t="shared" si="45"/>
        <v>47.5</v>
      </c>
      <c r="BO33" s="263">
        <f t="shared" si="20"/>
        <v>0</v>
      </c>
      <c r="BP33" s="263">
        <f t="shared" si="21"/>
        <v>47.5</v>
      </c>
      <c r="BQ33" s="263">
        <f t="shared" si="22"/>
        <v>0</v>
      </c>
      <c r="BR33" s="263">
        <f t="shared" si="23"/>
        <v>0</v>
      </c>
      <c r="BS33" s="263">
        <f t="shared" si="24"/>
        <v>0</v>
      </c>
      <c r="BT33" s="107">
        <f t="shared" si="41"/>
        <v>0</v>
      </c>
      <c r="BU33" s="264">
        <f t="shared" si="46"/>
        <v>47.5</v>
      </c>
      <c r="BV33" s="264">
        <f t="shared" si="25"/>
        <v>0</v>
      </c>
      <c r="BW33" s="265"/>
      <c r="BX33" s="361">
        <f t="shared" si="26"/>
        <v>0</v>
      </c>
      <c r="BZ33" s="21"/>
    </row>
    <row r="34" spans="2:78" ht="15.75" customHeight="1" x14ac:dyDescent="0.55000000000000004">
      <c r="E34" s="22"/>
      <c r="F34" s="22"/>
      <c r="H34" s="505"/>
      <c r="I34" s="21"/>
      <c r="K34" s="119" t="s">
        <v>158</v>
      </c>
      <c r="M34" s="119"/>
      <c r="N34" s="191" t="s">
        <v>21</v>
      </c>
      <c r="O34" s="436">
        <f>O33*E36</f>
        <v>0</v>
      </c>
      <c r="P34" s="436">
        <f>$P32*F36</f>
        <v>0</v>
      </c>
      <c r="V34" s="294">
        <f t="shared" si="27"/>
        <v>52321</v>
      </c>
      <c r="W34" s="366">
        <f t="shared" si="28"/>
        <v>17</v>
      </c>
      <c r="X34" s="366" t="str">
        <f t="shared" si="29"/>
        <v>維持管理・運営期間</v>
      </c>
      <c r="Y34" s="106">
        <f t="shared" si="0"/>
        <v>0</v>
      </c>
      <c r="Z34" s="107">
        <f t="shared" si="1"/>
        <v>0</v>
      </c>
      <c r="AA34" s="107">
        <f t="shared" si="2"/>
        <v>0</v>
      </c>
      <c r="AB34" s="107">
        <f t="shared" si="3"/>
        <v>0</v>
      </c>
      <c r="AC34" s="108">
        <f t="shared" si="43"/>
        <v>0</v>
      </c>
      <c r="AD34" s="106">
        <f t="shared" si="4"/>
        <v>0</v>
      </c>
      <c r="AE34" s="107">
        <f t="shared" si="5"/>
        <v>47.5</v>
      </c>
      <c r="AF34" s="107">
        <f t="shared" si="31"/>
        <v>10</v>
      </c>
      <c r="AG34" s="368">
        <f>IF(AND($W34&gt;$O$83, SUM($AA$17:AA33)&gt;0,SUM($AG$17:AG33)&lt;$O$79),$O$82,0)</f>
        <v>0</v>
      </c>
      <c r="AH34" s="107">
        <f>IF(SUM($AA$18:$AA33)&gt;0,($O$79-SUM($AG$18:$AG33))*$F$88,0)</f>
        <v>0</v>
      </c>
      <c r="AI34" s="108">
        <f t="shared" si="32"/>
        <v>57.5</v>
      </c>
      <c r="AJ34" s="113">
        <f t="shared" si="6"/>
        <v>-57.5</v>
      </c>
      <c r="AK34" s="115">
        <f t="shared" si="33"/>
        <v>0</v>
      </c>
      <c r="AL34" s="277"/>
      <c r="AM34" s="264">
        <f t="shared" si="7"/>
        <v>-30.583954673566826</v>
      </c>
      <c r="AN34" s="278"/>
      <c r="AO34" s="266">
        <f t="shared" si="8"/>
        <v>0</v>
      </c>
      <c r="AP34" s="263">
        <f t="shared" si="9"/>
        <v>0</v>
      </c>
      <c r="AQ34" s="263">
        <f t="shared" si="10"/>
        <v>0</v>
      </c>
      <c r="AR34" s="260">
        <f t="shared" si="11"/>
        <v>0</v>
      </c>
      <c r="AS34" s="261">
        <f t="shared" si="44"/>
        <v>0</v>
      </c>
      <c r="AT34" s="260">
        <f t="shared" si="12"/>
        <v>0</v>
      </c>
      <c r="AU34" s="260">
        <f t="shared" si="13"/>
        <v>0</v>
      </c>
      <c r="AV34" s="260">
        <f t="shared" si="14"/>
        <v>0</v>
      </c>
      <c r="AW34" s="260">
        <f t="shared" si="15"/>
        <v>47.5</v>
      </c>
      <c r="AX34" s="368">
        <f t="shared" si="35"/>
        <v>10</v>
      </c>
      <c r="AY34" s="260">
        <f t="shared" si="16"/>
        <v>0</v>
      </c>
      <c r="AZ34" s="368">
        <f>IF(AND($W34&gt;$P$83, SUM($AQ$17:AQ33)&gt;0,SUM($AZ$17:AZ33)&lt;$P$79),$P$82,0)</f>
        <v>0</v>
      </c>
      <c r="BA34" s="107">
        <f>IF(SUM($AQ$18:$AQ33)&gt;0,($P$79-SUM($AZ$18:$AZ33))*$F$88,0)</f>
        <v>0</v>
      </c>
      <c r="BB34" s="261">
        <f t="shared" si="36"/>
        <v>57.5</v>
      </c>
      <c r="BC34" s="263">
        <f t="shared" si="37"/>
        <v>-57.5</v>
      </c>
      <c r="BD34" s="264">
        <f t="shared" si="17"/>
        <v>-30.583954673566826</v>
      </c>
      <c r="BE34" s="279"/>
      <c r="BF34" s="180">
        <f t="shared" si="38"/>
        <v>0.53189486388811869</v>
      </c>
      <c r="BH34" s="266">
        <f t="shared" si="39"/>
        <v>0</v>
      </c>
      <c r="BI34" s="266">
        <f t="shared" si="39"/>
        <v>0</v>
      </c>
      <c r="BJ34" s="263">
        <f t="shared" si="39"/>
        <v>0</v>
      </c>
      <c r="BK34" s="263">
        <f t="shared" si="39"/>
        <v>47.5</v>
      </c>
      <c r="BL34" s="263">
        <f t="shared" si="40"/>
        <v>0</v>
      </c>
      <c r="BM34" s="260">
        <f t="shared" si="18"/>
        <v>0</v>
      </c>
      <c r="BN34" s="264">
        <f t="shared" si="45"/>
        <v>47.5</v>
      </c>
      <c r="BO34" s="263">
        <f t="shared" si="20"/>
        <v>0</v>
      </c>
      <c r="BP34" s="263">
        <f t="shared" si="21"/>
        <v>47.5</v>
      </c>
      <c r="BQ34" s="263">
        <f t="shared" si="22"/>
        <v>0</v>
      </c>
      <c r="BR34" s="263">
        <f t="shared" si="23"/>
        <v>0</v>
      </c>
      <c r="BS34" s="263">
        <f t="shared" si="24"/>
        <v>0</v>
      </c>
      <c r="BT34" s="107">
        <f t="shared" si="41"/>
        <v>0</v>
      </c>
      <c r="BU34" s="264">
        <f t="shared" si="46"/>
        <v>47.5</v>
      </c>
      <c r="BV34" s="264">
        <f t="shared" si="25"/>
        <v>0</v>
      </c>
      <c r="BW34" s="265"/>
      <c r="BX34" s="361">
        <f t="shared" si="26"/>
        <v>0</v>
      </c>
      <c r="BZ34" s="21"/>
    </row>
    <row r="35" spans="2:78" ht="15.75" customHeight="1" x14ac:dyDescent="0.45">
      <c r="C35" s="21" t="s">
        <v>159</v>
      </c>
      <c r="D35" s="191" t="s">
        <v>25</v>
      </c>
      <c r="E35" s="418"/>
      <c r="F35" s="418"/>
      <c r="H35" s="504" t="s">
        <v>323</v>
      </c>
      <c r="I35" s="21"/>
      <c r="K35" s="275" t="s">
        <v>161</v>
      </c>
      <c r="L35" s="241"/>
      <c r="M35" s="275"/>
      <c r="N35" s="242" t="s">
        <v>21</v>
      </c>
      <c r="O35" s="437">
        <f>SUM(O33:O34)</f>
        <v>0</v>
      </c>
      <c r="P35" s="437">
        <f>SUM(P33:P34)</f>
        <v>0</v>
      </c>
      <c r="V35" s="294">
        <f t="shared" si="27"/>
        <v>52687</v>
      </c>
      <c r="W35" s="366">
        <f t="shared" si="28"/>
        <v>18</v>
      </c>
      <c r="X35" s="366" t="str">
        <f t="shared" si="29"/>
        <v>維持管理・運営期間</v>
      </c>
      <c r="Y35" s="106">
        <f t="shared" si="0"/>
        <v>0</v>
      </c>
      <c r="Z35" s="107">
        <f t="shared" si="1"/>
        <v>0</v>
      </c>
      <c r="AA35" s="107">
        <f t="shared" si="2"/>
        <v>0</v>
      </c>
      <c r="AB35" s="107">
        <f t="shared" si="3"/>
        <v>0</v>
      </c>
      <c r="AC35" s="108">
        <f t="shared" si="43"/>
        <v>0</v>
      </c>
      <c r="AD35" s="106">
        <f t="shared" si="4"/>
        <v>0</v>
      </c>
      <c r="AE35" s="107">
        <f t="shared" si="5"/>
        <v>47.5</v>
      </c>
      <c r="AF35" s="107">
        <f t="shared" si="31"/>
        <v>10</v>
      </c>
      <c r="AG35" s="368">
        <f>IF(AND($W35&gt;$O$83, SUM($AA$17:AA34)&gt;0,SUM($AG$17:AG34)&lt;$O$79),$O$82,0)</f>
        <v>0</v>
      </c>
      <c r="AH35" s="107">
        <f>IF(SUM($AA$18:$AA34)&gt;0,($O$79-SUM($AG$18:$AG34))*$F$88,0)</f>
        <v>0</v>
      </c>
      <c r="AI35" s="108">
        <f t="shared" si="32"/>
        <v>57.5</v>
      </c>
      <c r="AJ35" s="113">
        <f t="shared" si="6"/>
        <v>-57.5</v>
      </c>
      <c r="AK35" s="115">
        <f t="shared" si="33"/>
        <v>0</v>
      </c>
      <c r="AL35" s="277"/>
      <c r="AM35" s="264">
        <f t="shared" si="7"/>
        <v>-29.469023633420015</v>
      </c>
      <c r="AN35" s="278"/>
      <c r="AO35" s="266">
        <f t="shared" si="8"/>
        <v>0</v>
      </c>
      <c r="AP35" s="263">
        <f t="shared" si="9"/>
        <v>0</v>
      </c>
      <c r="AQ35" s="263">
        <f t="shared" si="10"/>
        <v>0</v>
      </c>
      <c r="AR35" s="260">
        <f t="shared" si="11"/>
        <v>0</v>
      </c>
      <c r="AS35" s="261">
        <f t="shared" si="44"/>
        <v>0</v>
      </c>
      <c r="AT35" s="260">
        <f t="shared" si="12"/>
        <v>0</v>
      </c>
      <c r="AU35" s="260">
        <f t="shared" si="13"/>
        <v>0</v>
      </c>
      <c r="AV35" s="260">
        <f t="shared" si="14"/>
        <v>0</v>
      </c>
      <c r="AW35" s="260">
        <f t="shared" si="15"/>
        <v>47.5</v>
      </c>
      <c r="AX35" s="368">
        <f t="shared" si="35"/>
        <v>10</v>
      </c>
      <c r="AY35" s="260">
        <f t="shared" si="16"/>
        <v>0</v>
      </c>
      <c r="AZ35" s="368">
        <f>IF(AND($W35&gt;$P$83, SUM($AQ$17:AQ34)&gt;0,SUM($AZ$17:AZ34)&lt;$P$79),$P$82,0)</f>
        <v>0</v>
      </c>
      <c r="BA35" s="107">
        <f>IF(SUM($AQ$18:$AQ34)&gt;0,($P$79-SUM($AZ$18:$AZ34))*$F$88,0)</f>
        <v>0</v>
      </c>
      <c r="BB35" s="261">
        <f t="shared" si="36"/>
        <v>57.5</v>
      </c>
      <c r="BC35" s="263">
        <f t="shared" si="37"/>
        <v>-57.5</v>
      </c>
      <c r="BD35" s="264">
        <f t="shared" si="17"/>
        <v>-29.469023633420015</v>
      </c>
      <c r="BE35" s="279"/>
      <c r="BF35" s="180">
        <f t="shared" si="38"/>
        <v>0.51250475884208724</v>
      </c>
      <c r="BH35" s="266">
        <f t="shared" ref="BH35:BK47" si="47">AT35</f>
        <v>0</v>
      </c>
      <c r="BI35" s="266">
        <f t="shared" si="47"/>
        <v>0</v>
      </c>
      <c r="BJ35" s="263">
        <f t="shared" si="47"/>
        <v>0</v>
      </c>
      <c r="BK35" s="263">
        <f t="shared" si="47"/>
        <v>47.5</v>
      </c>
      <c r="BL35" s="263">
        <f t="shared" si="40"/>
        <v>0</v>
      </c>
      <c r="BM35" s="260">
        <f t="shared" si="18"/>
        <v>0</v>
      </c>
      <c r="BN35" s="264">
        <f t="shared" si="45"/>
        <v>47.5</v>
      </c>
      <c r="BO35" s="263">
        <f t="shared" si="20"/>
        <v>0</v>
      </c>
      <c r="BP35" s="263">
        <f t="shared" si="21"/>
        <v>47.5</v>
      </c>
      <c r="BQ35" s="263">
        <f t="shared" si="22"/>
        <v>0</v>
      </c>
      <c r="BR35" s="263">
        <f t="shared" si="23"/>
        <v>0</v>
      </c>
      <c r="BS35" s="263">
        <f t="shared" si="24"/>
        <v>0</v>
      </c>
      <c r="BT35" s="107">
        <f t="shared" si="41"/>
        <v>0</v>
      </c>
      <c r="BU35" s="264">
        <f t="shared" si="46"/>
        <v>47.5</v>
      </c>
      <c r="BV35" s="264">
        <f t="shared" si="25"/>
        <v>0</v>
      </c>
      <c r="BW35" s="265"/>
      <c r="BX35" s="361">
        <f t="shared" si="26"/>
        <v>0</v>
      </c>
      <c r="BZ35" s="21"/>
    </row>
    <row r="36" spans="2:78" ht="15.75" customHeight="1" x14ac:dyDescent="0.45">
      <c r="C36" s="21" t="s">
        <v>162</v>
      </c>
      <c r="D36" s="191" t="s">
        <v>25</v>
      </c>
      <c r="E36" s="418"/>
      <c r="F36" s="418"/>
      <c r="H36" s="504" t="s">
        <v>323</v>
      </c>
      <c r="I36" s="21"/>
      <c r="V36" s="294">
        <f t="shared" si="27"/>
        <v>53052</v>
      </c>
      <c r="W36" s="366">
        <f t="shared" si="28"/>
        <v>19</v>
      </c>
      <c r="X36" s="366" t="str">
        <f t="shared" si="29"/>
        <v>維持管理・運営期間</v>
      </c>
      <c r="Y36" s="106">
        <f t="shared" si="0"/>
        <v>0</v>
      </c>
      <c r="Z36" s="107">
        <f t="shared" si="1"/>
        <v>0</v>
      </c>
      <c r="AA36" s="107">
        <f t="shared" si="2"/>
        <v>0</v>
      </c>
      <c r="AB36" s="107">
        <f t="shared" si="3"/>
        <v>0</v>
      </c>
      <c r="AC36" s="108">
        <f t="shared" si="43"/>
        <v>0</v>
      </c>
      <c r="AD36" s="106">
        <f t="shared" si="4"/>
        <v>0</v>
      </c>
      <c r="AE36" s="107">
        <f t="shared" si="5"/>
        <v>47.5</v>
      </c>
      <c r="AF36" s="107">
        <f t="shared" si="31"/>
        <v>10</v>
      </c>
      <c r="AG36" s="368">
        <f>IF(AND($W36&gt;$O$83, SUM($AA$17:AA35)&gt;0,SUM($AG$17:AG35)&lt;$O$79),$O$82,0)</f>
        <v>0</v>
      </c>
      <c r="AH36" s="107">
        <f>IF(SUM($AA$18:$AA35)&gt;0,($O$79-SUM($AG$18:$AG35))*$F$88,0)</f>
        <v>0</v>
      </c>
      <c r="AI36" s="108">
        <f t="shared" si="32"/>
        <v>57.5</v>
      </c>
      <c r="AJ36" s="113">
        <f t="shared" si="6"/>
        <v>-57.5</v>
      </c>
      <c r="AK36" s="115">
        <f t="shared" si="33"/>
        <v>0</v>
      </c>
      <c r="AL36" s="277"/>
      <c r="AM36" s="264">
        <f t="shared" si="7"/>
        <v>-28.394737148156661</v>
      </c>
      <c r="AN36" s="278"/>
      <c r="AO36" s="266">
        <f t="shared" si="8"/>
        <v>0</v>
      </c>
      <c r="AP36" s="263">
        <f t="shared" si="9"/>
        <v>0</v>
      </c>
      <c r="AQ36" s="263">
        <f t="shared" si="10"/>
        <v>0</v>
      </c>
      <c r="AR36" s="260">
        <f t="shared" si="11"/>
        <v>0</v>
      </c>
      <c r="AS36" s="261">
        <f t="shared" si="44"/>
        <v>0</v>
      </c>
      <c r="AT36" s="260">
        <f t="shared" si="12"/>
        <v>0</v>
      </c>
      <c r="AU36" s="260">
        <f t="shared" si="13"/>
        <v>0</v>
      </c>
      <c r="AV36" s="260">
        <f t="shared" si="14"/>
        <v>0</v>
      </c>
      <c r="AW36" s="260">
        <f t="shared" si="15"/>
        <v>47.5</v>
      </c>
      <c r="AX36" s="368">
        <f t="shared" si="35"/>
        <v>10</v>
      </c>
      <c r="AY36" s="260">
        <f t="shared" si="16"/>
        <v>0</v>
      </c>
      <c r="AZ36" s="368">
        <f>IF(AND($W36&gt;$P$83, SUM($AQ$17:AQ35)&gt;0,SUM($AZ$17:AZ35)&lt;$P$79),$P$82,0)</f>
        <v>0</v>
      </c>
      <c r="BA36" s="107">
        <f>IF(SUM($AQ$18:$AQ35)&gt;0,($P$79-SUM($AZ$18:$AZ35))*$F$88,0)</f>
        <v>0</v>
      </c>
      <c r="BB36" s="261">
        <f t="shared" si="36"/>
        <v>57.5</v>
      </c>
      <c r="BC36" s="263">
        <f t="shared" si="37"/>
        <v>-57.5</v>
      </c>
      <c r="BD36" s="264">
        <f t="shared" si="17"/>
        <v>-28.394737148156661</v>
      </c>
      <c r="BE36" s="279"/>
      <c r="BF36" s="180">
        <f t="shared" si="38"/>
        <v>0.49382151562011584</v>
      </c>
      <c r="BH36" s="266">
        <f t="shared" si="47"/>
        <v>0</v>
      </c>
      <c r="BI36" s="266">
        <f t="shared" si="47"/>
        <v>0</v>
      </c>
      <c r="BJ36" s="263">
        <f t="shared" si="47"/>
        <v>0</v>
      </c>
      <c r="BK36" s="263">
        <f t="shared" si="47"/>
        <v>47.5</v>
      </c>
      <c r="BL36" s="263">
        <f t="shared" si="40"/>
        <v>0</v>
      </c>
      <c r="BM36" s="260">
        <f t="shared" si="18"/>
        <v>0</v>
      </c>
      <c r="BN36" s="264">
        <f t="shared" si="45"/>
        <v>47.5</v>
      </c>
      <c r="BO36" s="263">
        <f t="shared" si="20"/>
        <v>0</v>
      </c>
      <c r="BP36" s="263">
        <f t="shared" si="21"/>
        <v>47.5</v>
      </c>
      <c r="BQ36" s="263">
        <f t="shared" si="22"/>
        <v>0</v>
      </c>
      <c r="BR36" s="263">
        <f t="shared" si="23"/>
        <v>0</v>
      </c>
      <c r="BS36" s="263">
        <f t="shared" si="24"/>
        <v>0</v>
      </c>
      <c r="BT36" s="107">
        <f t="shared" si="41"/>
        <v>0</v>
      </c>
      <c r="BU36" s="264">
        <f t="shared" si="46"/>
        <v>47.5</v>
      </c>
      <c r="BV36" s="264">
        <f t="shared" si="25"/>
        <v>0</v>
      </c>
      <c r="BW36" s="265"/>
      <c r="BX36" s="361">
        <f t="shared" si="26"/>
        <v>0</v>
      </c>
      <c r="BZ36" s="21"/>
    </row>
    <row r="37" spans="2:78" ht="15.75" customHeight="1" x14ac:dyDescent="0.45">
      <c r="E37" s="498"/>
      <c r="H37" s="505"/>
      <c r="I37" s="21"/>
      <c r="V37" s="294">
        <f t="shared" si="27"/>
        <v>53417</v>
      </c>
      <c r="W37" s="366">
        <f t="shared" si="28"/>
        <v>20</v>
      </c>
      <c r="X37" s="366" t="str">
        <f t="shared" si="29"/>
        <v>維持管理・運営期間</v>
      </c>
      <c r="Y37" s="106">
        <f t="shared" si="0"/>
        <v>0</v>
      </c>
      <c r="Z37" s="107">
        <f t="shared" si="1"/>
        <v>0</v>
      </c>
      <c r="AA37" s="107">
        <f t="shared" si="2"/>
        <v>0</v>
      </c>
      <c r="AB37" s="107">
        <f t="shared" si="3"/>
        <v>0</v>
      </c>
      <c r="AC37" s="108">
        <f t="shared" si="43"/>
        <v>0</v>
      </c>
      <c r="AD37" s="106">
        <f t="shared" si="4"/>
        <v>0</v>
      </c>
      <c r="AE37" s="107">
        <f t="shared" si="5"/>
        <v>47.5</v>
      </c>
      <c r="AF37" s="107">
        <f t="shared" si="31"/>
        <v>10</v>
      </c>
      <c r="AG37" s="368">
        <f>IF(AND($W37&gt;$O$83, SUM($AA$17:AA36)&gt;0,SUM($AG$17:AG36)&lt;$O$79),$O$82,0)</f>
        <v>0</v>
      </c>
      <c r="AH37" s="107">
        <f>IF(SUM($AA$18:$AA36)&gt;0,($O$79-SUM($AG$18:$AG36))*$F$88,0)</f>
        <v>0</v>
      </c>
      <c r="AI37" s="108">
        <f t="shared" si="32"/>
        <v>57.5</v>
      </c>
      <c r="AJ37" s="113">
        <f t="shared" si="6"/>
        <v>-57.5</v>
      </c>
      <c r="AK37" s="115">
        <f t="shared" si="33"/>
        <v>0</v>
      </c>
      <c r="AL37" s="277"/>
      <c r="AM37" s="264">
        <f t="shared" si="7"/>
        <v>-27.359613529867651</v>
      </c>
      <c r="AN37" s="278"/>
      <c r="AO37" s="266">
        <f t="shared" si="8"/>
        <v>0</v>
      </c>
      <c r="AP37" s="263">
        <f t="shared" si="9"/>
        <v>0</v>
      </c>
      <c r="AQ37" s="263">
        <f t="shared" si="10"/>
        <v>0</v>
      </c>
      <c r="AR37" s="260">
        <f t="shared" si="11"/>
        <v>0</v>
      </c>
      <c r="AS37" s="261">
        <f t="shared" si="44"/>
        <v>0</v>
      </c>
      <c r="AT37" s="260">
        <f t="shared" si="12"/>
        <v>0</v>
      </c>
      <c r="AU37" s="260">
        <f t="shared" si="13"/>
        <v>0</v>
      </c>
      <c r="AV37" s="260">
        <f t="shared" si="14"/>
        <v>0</v>
      </c>
      <c r="AW37" s="260">
        <f t="shared" si="15"/>
        <v>47.5</v>
      </c>
      <c r="AX37" s="368">
        <f t="shared" si="35"/>
        <v>10</v>
      </c>
      <c r="AY37" s="260">
        <f t="shared" si="16"/>
        <v>0</v>
      </c>
      <c r="AZ37" s="368">
        <f>IF(AND($W37&gt;$P$83, SUM($AQ$17:AQ36)&gt;0,SUM($AZ$17:AZ36)&lt;$P$79),$P$82,0)</f>
        <v>0</v>
      </c>
      <c r="BA37" s="107">
        <f>IF(SUM($AQ$18:$AQ36)&gt;0,($P$79-SUM($AZ$18:$AZ36))*$F$88,0)</f>
        <v>0</v>
      </c>
      <c r="BB37" s="261">
        <f t="shared" si="36"/>
        <v>57.5</v>
      </c>
      <c r="BC37" s="263">
        <f t="shared" si="37"/>
        <v>-57.5</v>
      </c>
      <c r="BD37" s="264">
        <f t="shared" si="17"/>
        <v>-27.359613529867651</v>
      </c>
      <c r="BE37" s="279"/>
      <c r="BF37" s="180">
        <f t="shared" si="38"/>
        <v>0.4758193657368287</v>
      </c>
      <c r="BH37" s="266">
        <f t="shared" si="47"/>
        <v>0</v>
      </c>
      <c r="BI37" s="266">
        <f t="shared" si="47"/>
        <v>0</v>
      </c>
      <c r="BJ37" s="263">
        <f t="shared" si="47"/>
        <v>0</v>
      </c>
      <c r="BK37" s="263">
        <f t="shared" si="47"/>
        <v>47.5</v>
      </c>
      <c r="BL37" s="263">
        <f t="shared" si="40"/>
        <v>0</v>
      </c>
      <c r="BM37" s="260">
        <f t="shared" si="18"/>
        <v>0</v>
      </c>
      <c r="BN37" s="264">
        <f t="shared" ref="BN37:BN47" si="48">SUM(BH37:BM37)</f>
        <v>47.5</v>
      </c>
      <c r="BO37" s="263">
        <f t="shared" si="20"/>
        <v>0</v>
      </c>
      <c r="BP37" s="263">
        <f t="shared" si="21"/>
        <v>47.5</v>
      </c>
      <c r="BQ37" s="263">
        <f t="shared" si="22"/>
        <v>0</v>
      </c>
      <c r="BR37" s="263">
        <f t="shared" si="23"/>
        <v>0</v>
      </c>
      <c r="BS37" s="263">
        <f t="shared" si="24"/>
        <v>0</v>
      </c>
      <c r="BT37" s="107">
        <f t="shared" si="41"/>
        <v>0</v>
      </c>
      <c r="BU37" s="264">
        <f t="shared" ref="BU37:BU47" si="49">SUM(BO37:BT37)</f>
        <v>47.5</v>
      </c>
      <c r="BV37" s="264">
        <f t="shared" si="25"/>
        <v>0</v>
      </c>
      <c r="BW37" s="265"/>
      <c r="BX37" s="361">
        <f t="shared" si="26"/>
        <v>0</v>
      </c>
      <c r="BZ37" s="21"/>
    </row>
    <row r="38" spans="2:78" ht="15.75" customHeight="1" x14ac:dyDescent="0.55000000000000004">
      <c r="E38" s="123"/>
      <c r="F38" s="123"/>
      <c r="H38" s="505"/>
      <c r="I38" s="21"/>
      <c r="V38" s="294">
        <f t="shared" si="27"/>
        <v>53782</v>
      </c>
      <c r="W38" s="366">
        <f t="shared" si="28"/>
        <v>21</v>
      </c>
      <c r="X38" s="366" t="str">
        <f t="shared" si="29"/>
        <v>-</v>
      </c>
      <c r="Y38" s="106">
        <f t="shared" si="0"/>
        <v>0</v>
      </c>
      <c r="Z38" s="107">
        <f t="shared" si="1"/>
        <v>0</v>
      </c>
      <c r="AA38" s="107">
        <f t="shared" si="2"/>
        <v>0</v>
      </c>
      <c r="AB38" s="107">
        <f t="shared" si="3"/>
        <v>0</v>
      </c>
      <c r="AC38" s="108">
        <f t="shared" si="43"/>
        <v>0</v>
      </c>
      <c r="AD38" s="106">
        <f t="shared" si="4"/>
        <v>0</v>
      </c>
      <c r="AE38" s="107">
        <f t="shared" si="5"/>
        <v>0</v>
      </c>
      <c r="AF38" s="107">
        <f t="shared" si="31"/>
        <v>0</v>
      </c>
      <c r="AG38" s="368">
        <f>IF(AND($W38&gt;$O$83, SUM($AA$17:AA37)&gt;0,SUM($AG$17:AG37)&lt;$O$79),$O$82,0)</f>
        <v>0</v>
      </c>
      <c r="AH38" s="107">
        <f>IF(SUM($AA$18:$AA37)&gt;0,($O$79-SUM($AG$18:$AG37))*$F$88,0)</f>
        <v>0</v>
      </c>
      <c r="AI38" s="108">
        <f t="shared" si="32"/>
        <v>0</v>
      </c>
      <c r="AJ38" s="113">
        <f t="shared" si="6"/>
        <v>0</v>
      </c>
      <c r="AK38" s="115">
        <f t="shared" si="33"/>
        <v>0</v>
      </c>
      <c r="AL38" s="277"/>
      <c r="AM38" s="264">
        <f t="shared" si="7"/>
        <v>0</v>
      </c>
      <c r="AN38" s="278"/>
      <c r="AO38" s="266">
        <f t="shared" si="8"/>
        <v>0</v>
      </c>
      <c r="AP38" s="263">
        <f t="shared" si="9"/>
        <v>0</v>
      </c>
      <c r="AQ38" s="263">
        <f t="shared" si="10"/>
        <v>0</v>
      </c>
      <c r="AR38" s="260">
        <f t="shared" si="11"/>
        <v>0</v>
      </c>
      <c r="AS38" s="261">
        <f t="shared" si="44"/>
        <v>0</v>
      </c>
      <c r="AT38" s="260">
        <f t="shared" si="12"/>
        <v>0</v>
      </c>
      <c r="AU38" s="260">
        <f t="shared" si="13"/>
        <v>0</v>
      </c>
      <c r="AV38" s="260">
        <f t="shared" si="14"/>
        <v>0</v>
      </c>
      <c r="AW38" s="260">
        <f t="shared" si="15"/>
        <v>0</v>
      </c>
      <c r="AX38" s="368">
        <f t="shared" si="35"/>
        <v>0</v>
      </c>
      <c r="AY38" s="260">
        <f t="shared" si="16"/>
        <v>0</v>
      </c>
      <c r="AZ38" s="368">
        <f>IF(AND($W38&gt;$P$83, SUM($AQ$17:AQ37)&gt;0,SUM($AZ$17:AZ37)&lt;$P$79),$P$82,0)</f>
        <v>0</v>
      </c>
      <c r="BA38" s="107">
        <f>IF(SUM($AQ$18:$AQ37)&gt;0,($P$79-SUM($AZ$18:$AZ37))*$F$88,0)</f>
        <v>0</v>
      </c>
      <c r="BB38" s="261">
        <f t="shared" si="36"/>
        <v>0</v>
      </c>
      <c r="BC38" s="263">
        <f t="shared" si="37"/>
        <v>0</v>
      </c>
      <c r="BD38" s="264">
        <f t="shared" si="17"/>
        <v>0</v>
      </c>
      <c r="BE38" s="279"/>
      <c r="BF38" s="180">
        <f t="shared" si="38"/>
        <v>0.45847348009106342</v>
      </c>
      <c r="BH38" s="266">
        <f t="shared" si="47"/>
        <v>0</v>
      </c>
      <c r="BI38" s="266">
        <f t="shared" si="47"/>
        <v>0</v>
      </c>
      <c r="BJ38" s="263">
        <f t="shared" si="47"/>
        <v>0</v>
      </c>
      <c r="BK38" s="263">
        <f t="shared" si="47"/>
        <v>0</v>
      </c>
      <c r="BL38" s="263">
        <f t="shared" si="40"/>
        <v>0</v>
      </c>
      <c r="BM38" s="260">
        <f t="shared" si="18"/>
        <v>0</v>
      </c>
      <c r="BN38" s="264">
        <f t="shared" si="48"/>
        <v>0</v>
      </c>
      <c r="BO38" s="263">
        <f t="shared" si="20"/>
        <v>0</v>
      </c>
      <c r="BP38" s="263">
        <f t="shared" si="21"/>
        <v>0</v>
      </c>
      <c r="BQ38" s="263">
        <f t="shared" si="22"/>
        <v>0</v>
      </c>
      <c r="BR38" s="263">
        <f t="shared" si="23"/>
        <v>0</v>
      </c>
      <c r="BS38" s="263">
        <f t="shared" si="24"/>
        <v>0</v>
      </c>
      <c r="BT38" s="107">
        <f t="shared" si="41"/>
        <v>0</v>
      </c>
      <c r="BU38" s="264">
        <f t="shared" si="49"/>
        <v>0</v>
      </c>
      <c r="BV38" s="264">
        <f t="shared" si="25"/>
        <v>0</v>
      </c>
      <c r="BW38" s="265"/>
      <c r="BX38" s="361">
        <f t="shared" si="26"/>
        <v>0</v>
      </c>
      <c r="BZ38" s="21"/>
    </row>
    <row r="39" spans="2:78" ht="15.75" customHeight="1" x14ac:dyDescent="0.55000000000000004">
      <c r="B39" s="226" t="s">
        <v>163</v>
      </c>
      <c r="D39" s="21"/>
      <c r="H39" s="505"/>
      <c r="I39" s="21"/>
      <c r="J39" s="226" t="s">
        <v>163</v>
      </c>
      <c r="O39" s="21" t="s">
        <v>55</v>
      </c>
      <c r="P39" s="21" t="s">
        <v>98</v>
      </c>
      <c r="V39" s="294">
        <f t="shared" si="27"/>
        <v>54148</v>
      </c>
      <c r="W39" s="366">
        <f t="shared" si="28"/>
        <v>22</v>
      </c>
      <c r="X39" s="366" t="str">
        <f t="shared" si="29"/>
        <v>-</v>
      </c>
      <c r="Y39" s="106">
        <f t="shared" si="0"/>
        <v>0</v>
      </c>
      <c r="Z39" s="107">
        <f t="shared" si="1"/>
        <v>0</v>
      </c>
      <c r="AA39" s="107">
        <f t="shared" si="2"/>
        <v>0</v>
      </c>
      <c r="AB39" s="107">
        <f t="shared" si="3"/>
        <v>0</v>
      </c>
      <c r="AC39" s="108">
        <f t="shared" si="43"/>
        <v>0</v>
      </c>
      <c r="AD39" s="106">
        <f t="shared" si="4"/>
        <v>0</v>
      </c>
      <c r="AE39" s="107">
        <f t="shared" si="5"/>
        <v>0</v>
      </c>
      <c r="AF39" s="107">
        <f t="shared" si="31"/>
        <v>0</v>
      </c>
      <c r="AG39" s="368">
        <f>IF(AND($W39&gt;$O$83, SUM($AA$17:AA38)&gt;0,SUM($AG$17:AG38)&lt;$O$79),$O$82,0)</f>
        <v>0</v>
      </c>
      <c r="AH39" s="107">
        <f>IF(SUM($AA$18:$AA38)&gt;0,($O$79-SUM($AG$18:$AG38))*$F$88,0)</f>
        <v>0</v>
      </c>
      <c r="AI39" s="108">
        <f t="shared" si="32"/>
        <v>0</v>
      </c>
      <c r="AJ39" s="113">
        <f t="shared" si="6"/>
        <v>0</v>
      </c>
      <c r="AK39" s="115">
        <f t="shared" si="33"/>
        <v>0</v>
      </c>
      <c r="AL39" s="277"/>
      <c r="AM39" s="264">
        <f t="shared" si="7"/>
        <v>0</v>
      </c>
      <c r="AN39" s="278"/>
      <c r="AO39" s="266">
        <f t="shared" si="8"/>
        <v>0</v>
      </c>
      <c r="AP39" s="263">
        <f t="shared" si="9"/>
        <v>0</v>
      </c>
      <c r="AQ39" s="263">
        <f t="shared" si="10"/>
        <v>0</v>
      </c>
      <c r="AR39" s="260">
        <f t="shared" si="11"/>
        <v>0</v>
      </c>
      <c r="AS39" s="261">
        <f t="shared" si="44"/>
        <v>0</v>
      </c>
      <c r="AT39" s="260">
        <f t="shared" si="12"/>
        <v>0</v>
      </c>
      <c r="AU39" s="260">
        <f t="shared" si="13"/>
        <v>0</v>
      </c>
      <c r="AV39" s="260">
        <f t="shared" si="14"/>
        <v>0</v>
      </c>
      <c r="AW39" s="260">
        <f t="shared" si="15"/>
        <v>0</v>
      </c>
      <c r="AX39" s="368">
        <f t="shared" si="35"/>
        <v>0</v>
      </c>
      <c r="AY39" s="260">
        <f t="shared" si="16"/>
        <v>0</v>
      </c>
      <c r="AZ39" s="368">
        <f>IF(AND($W39&gt;$P$83, SUM($AQ$17:AQ38)&gt;0,SUM($AZ$17:AZ38)&lt;$P$79),$P$82,0)</f>
        <v>0</v>
      </c>
      <c r="BA39" s="107">
        <f>IF(SUM($AQ$18:$AQ38)&gt;0,($P$79-SUM($AZ$18:$AZ38))*$F$88,0)</f>
        <v>0</v>
      </c>
      <c r="BB39" s="261">
        <f t="shared" si="36"/>
        <v>0</v>
      </c>
      <c r="BC39" s="263">
        <f t="shared" si="37"/>
        <v>0</v>
      </c>
      <c r="BD39" s="264">
        <f t="shared" si="17"/>
        <v>0</v>
      </c>
      <c r="BE39" s="279"/>
      <c r="BF39" s="180">
        <f t="shared" si="38"/>
        <v>0.44175993472083536</v>
      </c>
      <c r="BH39" s="266">
        <f t="shared" si="47"/>
        <v>0</v>
      </c>
      <c r="BI39" s="266">
        <f t="shared" si="47"/>
        <v>0</v>
      </c>
      <c r="BJ39" s="263">
        <f t="shared" si="47"/>
        <v>0</v>
      </c>
      <c r="BK39" s="263">
        <f t="shared" si="47"/>
        <v>0</v>
      </c>
      <c r="BL39" s="263">
        <f t="shared" si="40"/>
        <v>0</v>
      </c>
      <c r="BM39" s="260">
        <f t="shared" si="18"/>
        <v>0</v>
      </c>
      <c r="BN39" s="264">
        <f t="shared" si="48"/>
        <v>0</v>
      </c>
      <c r="BO39" s="263">
        <f t="shared" si="20"/>
        <v>0</v>
      </c>
      <c r="BP39" s="263">
        <f t="shared" si="21"/>
        <v>0</v>
      </c>
      <c r="BQ39" s="263">
        <f t="shared" si="22"/>
        <v>0</v>
      </c>
      <c r="BR39" s="263">
        <f t="shared" si="23"/>
        <v>0</v>
      </c>
      <c r="BS39" s="263">
        <f t="shared" si="24"/>
        <v>0</v>
      </c>
      <c r="BT39" s="107">
        <f t="shared" si="41"/>
        <v>0</v>
      </c>
      <c r="BU39" s="264">
        <f t="shared" si="49"/>
        <v>0</v>
      </c>
      <c r="BV39" s="264">
        <f t="shared" si="25"/>
        <v>0</v>
      </c>
      <c r="BW39" s="265"/>
      <c r="BX39" s="361">
        <f t="shared" si="26"/>
        <v>0</v>
      </c>
      <c r="BZ39" s="21"/>
    </row>
    <row r="40" spans="2:78" ht="15.75" customHeight="1" x14ac:dyDescent="0.45">
      <c r="B40" s="119"/>
      <c r="C40" s="21" t="s">
        <v>164</v>
      </c>
      <c r="D40" s="191" t="s">
        <v>25</v>
      </c>
      <c r="F40" s="418"/>
      <c r="H40" s="504" t="s">
        <v>323</v>
      </c>
      <c r="I40" s="21"/>
      <c r="K40" s="119" t="s">
        <v>165</v>
      </c>
      <c r="N40" s="191" t="s">
        <v>25</v>
      </c>
      <c r="O40" s="169"/>
      <c r="P40" s="121">
        <f>SUM(F40:F42)</f>
        <v>0</v>
      </c>
      <c r="V40" s="294">
        <f t="shared" si="27"/>
        <v>54513</v>
      </c>
      <c r="W40" s="366">
        <f t="shared" si="28"/>
        <v>23</v>
      </c>
      <c r="X40" s="366" t="str">
        <f t="shared" si="29"/>
        <v>-</v>
      </c>
      <c r="Y40" s="106">
        <f t="shared" si="0"/>
        <v>0</v>
      </c>
      <c r="Z40" s="107">
        <f t="shared" si="1"/>
        <v>0</v>
      </c>
      <c r="AA40" s="107">
        <f t="shared" si="2"/>
        <v>0</v>
      </c>
      <c r="AB40" s="107">
        <f t="shared" si="3"/>
        <v>0</v>
      </c>
      <c r="AC40" s="108">
        <f t="shared" si="43"/>
        <v>0</v>
      </c>
      <c r="AD40" s="106">
        <f t="shared" si="4"/>
        <v>0</v>
      </c>
      <c r="AE40" s="107">
        <f t="shared" si="5"/>
        <v>0</v>
      </c>
      <c r="AF40" s="107">
        <f t="shared" si="31"/>
        <v>0</v>
      </c>
      <c r="AG40" s="368">
        <f>IF(AND($W40&gt;$O$83, SUM($AA$17:AA39)&gt;0,SUM($AG$17:AG39)&lt;$O$79),$O$82,0)</f>
        <v>0</v>
      </c>
      <c r="AH40" s="107">
        <f>IF(SUM($AA$18:$AA39)&gt;0,($O$79-SUM($AG$18:$AG39))*$F$88,0)</f>
        <v>0</v>
      </c>
      <c r="AI40" s="108">
        <f t="shared" si="32"/>
        <v>0</v>
      </c>
      <c r="AJ40" s="113">
        <f t="shared" si="6"/>
        <v>0</v>
      </c>
      <c r="AK40" s="115">
        <f t="shared" si="33"/>
        <v>0</v>
      </c>
      <c r="AL40" s="277"/>
      <c r="AM40" s="264">
        <f t="shared" si="7"/>
        <v>0</v>
      </c>
      <c r="AN40" s="278"/>
      <c r="AO40" s="266">
        <f t="shared" si="8"/>
        <v>0</v>
      </c>
      <c r="AP40" s="263">
        <f t="shared" si="9"/>
        <v>0</v>
      </c>
      <c r="AQ40" s="263">
        <f t="shared" si="10"/>
        <v>0</v>
      </c>
      <c r="AR40" s="260">
        <f t="shared" si="11"/>
        <v>0</v>
      </c>
      <c r="AS40" s="261">
        <f t="shared" si="44"/>
        <v>0</v>
      </c>
      <c r="AT40" s="260">
        <f t="shared" si="12"/>
        <v>0</v>
      </c>
      <c r="AU40" s="260">
        <f t="shared" si="13"/>
        <v>0</v>
      </c>
      <c r="AV40" s="260">
        <f t="shared" si="14"/>
        <v>0</v>
      </c>
      <c r="AW40" s="260">
        <f t="shared" si="15"/>
        <v>0</v>
      </c>
      <c r="AX40" s="368">
        <f t="shared" si="35"/>
        <v>0</v>
      </c>
      <c r="AY40" s="260">
        <f t="shared" si="16"/>
        <v>0</v>
      </c>
      <c r="AZ40" s="368">
        <f>IF(AND($W40&gt;$P$83, SUM($AQ$17:AQ39)&gt;0,SUM($AZ$17:AZ39)&lt;$P$79),$P$82,0)</f>
        <v>0</v>
      </c>
      <c r="BA40" s="107">
        <f>IF(SUM($AQ$18:$AQ39)&gt;0,($P$79-SUM($AZ$18:$AZ39))*$F$88,0)</f>
        <v>0</v>
      </c>
      <c r="BB40" s="261">
        <f t="shared" si="36"/>
        <v>0</v>
      </c>
      <c r="BC40" s="263">
        <f t="shared" si="37"/>
        <v>0</v>
      </c>
      <c r="BD40" s="264">
        <f t="shared" si="17"/>
        <v>0</v>
      </c>
      <c r="BE40" s="279"/>
      <c r="BF40" s="180">
        <f t="shared" si="38"/>
        <v>0.42565567780669683</v>
      </c>
      <c r="BH40" s="266">
        <f t="shared" si="47"/>
        <v>0</v>
      </c>
      <c r="BI40" s="266">
        <f t="shared" si="47"/>
        <v>0</v>
      </c>
      <c r="BJ40" s="263">
        <f t="shared" si="47"/>
        <v>0</v>
      </c>
      <c r="BK40" s="263">
        <f t="shared" si="47"/>
        <v>0</v>
      </c>
      <c r="BL40" s="263">
        <f t="shared" si="40"/>
        <v>0</v>
      </c>
      <c r="BM40" s="260">
        <f t="shared" si="18"/>
        <v>0</v>
      </c>
      <c r="BN40" s="264">
        <f t="shared" si="48"/>
        <v>0</v>
      </c>
      <c r="BO40" s="263">
        <f t="shared" si="20"/>
        <v>0</v>
      </c>
      <c r="BP40" s="263">
        <f t="shared" si="21"/>
        <v>0</v>
      </c>
      <c r="BQ40" s="263">
        <f t="shared" si="22"/>
        <v>0</v>
      </c>
      <c r="BR40" s="263">
        <f t="shared" si="23"/>
        <v>0</v>
      </c>
      <c r="BS40" s="263">
        <f t="shared" si="24"/>
        <v>0</v>
      </c>
      <c r="BT40" s="107">
        <f t="shared" si="41"/>
        <v>0</v>
      </c>
      <c r="BU40" s="264">
        <f t="shared" si="49"/>
        <v>0</v>
      </c>
      <c r="BV40" s="264">
        <f t="shared" si="25"/>
        <v>0</v>
      </c>
      <c r="BW40" s="265"/>
      <c r="BX40" s="361">
        <f t="shared" si="26"/>
        <v>0</v>
      </c>
      <c r="BZ40" s="21"/>
    </row>
    <row r="41" spans="2:78" ht="15.75" customHeight="1" x14ac:dyDescent="0.45">
      <c r="C41" s="21" t="s">
        <v>166</v>
      </c>
      <c r="D41" s="191" t="s">
        <v>25</v>
      </c>
      <c r="F41" s="418"/>
      <c r="H41" s="504" t="s">
        <v>323</v>
      </c>
      <c r="I41" s="21"/>
      <c r="N41" s="21"/>
      <c r="V41" s="294">
        <f t="shared" si="27"/>
        <v>54878</v>
      </c>
      <c r="W41" s="366">
        <f t="shared" si="28"/>
        <v>24</v>
      </c>
      <c r="X41" s="366" t="str">
        <f t="shared" si="29"/>
        <v>-</v>
      </c>
      <c r="Y41" s="106">
        <f t="shared" si="0"/>
        <v>0</v>
      </c>
      <c r="Z41" s="107">
        <f t="shared" si="1"/>
        <v>0</v>
      </c>
      <c r="AA41" s="107">
        <f t="shared" si="2"/>
        <v>0</v>
      </c>
      <c r="AB41" s="107">
        <f t="shared" si="3"/>
        <v>0</v>
      </c>
      <c r="AC41" s="108">
        <f t="shared" si="43"/>
        <v>0</v>
      </c>
      <c r="AD41" s="106">
        <f t="shared" si="4"/>
        <v>0</v>
      </c>
      <c r="AE41" s="107">
        <f t="shared" si="5"/>
        <v>0</v>
      </c>
      <c r="AF41" s="107">
        <f t="shared" si="31"/>
        <v>0</v>
      </c>
      <c r="AG41" s="368">
        <f>IF(AND($W41&gt;$O$83, SUM($AA$17:AA40)&gt;0,SUM($AG$17:AG40)&lt;$O$79),$O$82,0)</f>
        <v>0</v>
      </c>
      <c r="AH41" s="107">
        <f>IF(SUM($AA$18:$AA40)&gt;0,($O$79-SUM($AG$18:$AG40))*$F$88,0)</f>
        <v>0</v>
      </c>
      <c r="AI41" s="108">
        <f t="shared" si="32"/>
        <v>0</v>
      </c>
      <c r="AJ41" s="113">
        <f t="shared" si="6"/>
        <v>0</v>
      </c>
      <c r="AK41" s="115">
        <f t="shared" si="33"/>
        <v>0</v>
      </c>
      <c r="AL41" s="277"/>
      <c r="AM41" s="264">
        <f t="shared" si="7"/>
        <v>0</v>
      </c>
      <c r="AN41" s="278"/>
      <c r="AO41" s="266">
        <f t="shared" si="8"/>
        <v>0</v>
      </c>
      <c r="AP41" s="263">
        <f t="shared" si="9"/>
        <v>0</v>
      </c>
      <c r="AQ41" s="263">
        <f t="shared" si="10"/>
        <v>0</v>
      </c>
      <c r="AR41" s="260">
        <f t="shared" si="11"/>
        <v>0</v>
      </c>
      <c r="AS41" s="261">
        <f t="shared" si="44"/>
        <v>0</v>
      </c>
      <c r="AT41" s="260">
        <f t="shared" si="12"/>
        <v>0</v>
      </c>
      <c r="AU41" s="260">
        <f t="shared" si="13"/>
        <v>0</v>
      </c>
      <c r="AV41" s="260">
        <f t="shared" si="14"/>
        <v>0</v>
      </c>
      <c r="AW41" s="260">
        <f t="shared" si="15"/>
        <v>0</v>
      </c>
      <c r="AX41" s="368">
        <f t="shared" si="35"/>
        <v>0</v>
      </c>
      <c r="AY41" s="260">
        <f t="shared" si="16"/>
        <v>0</v>
      </c>
      <c r="AZ41" s="368">
        <f>IF(AND($W41&gt;$P$83, SUM($AQ$17:AQ40)&gt;0,SUM($AZ$17:AZ40)&lt;$P$79),$P$82,0)</f>
        <v>0</v>
      </c>
      <c r="BA41" s="107">
        <f>IF(SUM($AQ$18:$AQ40)&gt;0,($P$79-SUM($AZ$18:$AZ40))*$F$88,0)</f>
        <v>0</v>
      </c>
      <c r="BB41" s="261">
        <f t="shared" si="36"/>
        <v>0</v>
      </c>
      <c r="BC41" s="263">
        <f t="shared" si="37"/>
        <v>0</v>
      </c>
      <c r="BD41" s="264">
        <f t="shared" si="17"/>
        <v>0</v>
      </c>
      <c r="BE41" s="279"/>
      <c r="BF41" s="180">
        <f t="shared" si="38"/>
        <v>0.41013849787798129</v>
      </c>
      <c r="BH41" s="266">
        <f t="shared" si="47"/>
        <v>0</v>
      </c>
      <c r="BI41" s="266">
        <f t="shared" si="47"/>
        <v>0</v>
      </c>
      <c r="BJ41" s="263">
        <f t="shared" si="47"/>
        <v>0</v>
      </c>
      <c r="BK41" s="263">
        <f t="shared" si="47"/>
        <v>0</v>
      </c>
      <c r="BL41" s="263">
        <f t="shared" si="40"/>
        <v>0</v>
      </c>
      <c r="BM41" s="260">
        <f t="shared" si="18"/>
        <v>0</v>
      </c>
      <c r="BN41" s="264">
        <f t="shared" si="48"/>
        <v>0</v>
      </c>
      <c r="BO41" s="263">
        <f t="shared" si="20"/>
        <v>0</v>
      </c>
      <c r="BP41" s="263">
        <f t="shared" si="21"/>
        <v>0</v>
      </c>
      <c r="BQ41" s="263">
        <f t="shared" si="22"/>
        <v>0</v>
      </c>
      <c r="BR41" s="263">
        <f t="shared" si="23"/>
        <v>0</v>
      </c>
      <c r="BS41" s="263">
        <f t="shared" si="24"/>
        <v>0</v>
      </c>
      <c r="BT41" s="107">
        <f t="shared" si="41"/>
        <v>0</v>
      </c>
      <c r="BU41" s="264">
        <f t="shared" si="49"/>
        <v>0</v>
      </c>
      <c r="BV41" s="264">
        <f t="shared" si="25"/>
        <v>0</v>
      </c>
      <c r="BW41" s="265"/>
      <c r="BX41" s="361">
        <f t="shared" si="26"/>
        <v>0</v>
      </c>
      <c r="BZ41" s="21"/>
    </row>
    <row r="42" spans="2:78" ht="15.75" customHeight="1" x14ac:dyDescent="0.45">
      <c r="C42" s="21" t="s">
        <v>167</v>
      </c>
      <c r="D42" s="191" t="s">
        <v>25</v>
      </c>
      <c r="F42" s="418"/>
      <c r="H42" s="504" t="s">
        <v>323</v>
      </c>
      <c r="I42" s="21"/>
      <c r="V42" s="294">
        <f t="shared" si="27"/>
        <v>55243</v>
      </c>
      <c r="W42" s="366">
        <f t="shared" si="28"/>
        <v>25</v>
      </c>
      <c r="X42" s="366" t="str">
        <f t="shared" si="29"/>
        <v>-</v>
      </c>
      <c r="Y42" s="106">
        <f t="shared" si="0"/>
        <v>0</v>
      </c>
      <c r="Z42" s="107">
        <f t="shared" si="1"/>
        <v>0</v>
      </c>
      <c r="AA42" s="107">
        <f t="shared" si="2"/>
        <v>0</v>
      </c>
      <c r="AB42" s="107">
        <f t="shared" si="3"/>
        <v>0</v>
      </c>
      <c r="AC42" s="108">
        <f t="shared" si="43"/>
        <v>0</v>
      </c>
      <c r="AD42" s="106">
        <f t="shared" si="4"/>
        <v>0</v>
      </c>
      <c r="AE42" s="107">
        <f t="shared" si="5"/>
        <v>0</v>
      </c>
      <c r="AF42" s="107">
        <f t="shared" si="31"/>
        <v>0</v>
      </c>
      <c r="AG42" s="368">
        <f>IF(AND($W42&gt;$O$83, SUM($AA$17:AA41)&gt;0,SUM($AG$17:AG41)&lt;$O$79),$O$82,0)</f>
        <v>0</v>
      </c>
      <c r="AH42" s="107">
        <f>IF(SUM($AA$18:$AA41)&gt;0,($O$79-SUM($AG$18:$AG41))*$F$88,0)</f>
        <v>0</v>
      </c>
      <c r="AI42" s="108">
        <f t="shared" si="32"/>
        <v>0</v>
      </c>
      <c r="AJ42" s="113">
        <f t="shared" si="6"/>
        <v>0</v>
      </c>
      <c r="AK42" s="115">
        <f t="shared" si="33"/>
        <v>0</v>
      </c>
      <c r="AL42" s="277"/>
      <c r="AM42" s="264">
        <f t="shared" si="7"/>
        <v>0</v>
      </c>
      <c r="AN42" s="278"/>
      <c r="AO42" s="266">
        <f t="shared" si="8"/>
        <v>0</v>
      </c>
      <c r="AP42" s="263">
        <f t="shared" si="9"/>
        <v>0</v>
      </c>
      <c r="AQ42" s="263">
        <f t="shared" si="10"/>
        <v>0</v>
      </c>
      <c r="AR42" s="260">
        <f t="shared" si="11"/>
        <v>0</v>
      </c>
      <c r="AS42" s="261">
        <f t="shared" si="44"/>
        <v>0</v>
      </c>
      <c r="AT42" s="260">
        <f t="shared" si="12"/>
        <v>0</v>
      </c>
      <c r="AU42" s="260">
        <f t="shared" si="13"/>
        <v>0</v>
      </c>
      <c r="AV42" s="260">
        <f t="shared" si="14"/>
        <v>0</v>
      </c>
      <c r="AW42" s="260">
        <f t="shared" si="15"/>
        <v>0</v>
      </c>
      <c r="AX42" s="368">
        <f t="shared" si="35"/>
        <v>0</v>
      </c>
      <c r="AY42" s="260">
        <f t="shared" si="16"/>
        <v>0</v>
      </c>
      <c r="AZ42" s="368">
        <f>IF(AND($W42&gt;$P$83, SUM($AQ$17:AQ41)&gt;0,SUM($AZ$17:AZ41)&lt;$P$79),$P$82,0)</f>
        <v>0</v>
      </c>
      <c r="BA42" s="107">
        <f>IF(SUM($AQ$18:$AQ41)&gt;0,($P$79-SUM($AZ$18:$AZ41))*$F$88,0)</f>
        <v>0</v>
      </c>
      <c r="BB42" s="261">
        <f t="shared" si="36"/>
        <v>0</v>
      </c>
      <c r="BC42" s="263">
        <f t="shared" si="37"/>
        <v>0</v>
      </c>
      <c r="BD42" s="264">
        <f t="shared" si="17"/>
        <v>0</v>
      </c>
      <c r="BE42" s="280"/>
      <c r="BF42" s="180">
        <f t="shared" si="38"/>
        <v>0.39518699317808176</v>
      </c>
      <c r="BH42" s="266">
        <f t="shared" si="47"/>
        <v>0</v>
      </c>
      <c r="BI42" s="266">
        <f t="shared" si="47"/>
        <v>0</v>
      </c>
      <c r="BJ42" s="263">
        <f t="shared" si="47"/>
        <v>0</v>
      </c>
      <c r="BK42" s="263">
        <f t="shared" si="47"/>
        <v>0</v>
      </c>
      <c r="BL42" s="263">
        <f t="shared" si="40"/>
        <v>0</v>
      </c>
      <c r="BM42" s="260">
        <f t="shared" si="18"/>
        <v>0</v>
      </c>
      <c r="BN42" s="264">
        <f t="shared" si="48"/>
        <v>0</v>
      </c>
      <c r="BO42" s="263">
        <f t="shared" si="20"/>
        <v>0</v>
      </c>
      <c r="BP42" s="263">
        <f t="shared" si="21"/>
        <v>0</v>
      </c>
      <c r="BQ42" s="263">
        <f t="shared" si="22"/>
        <v>0</v>
      </c>
      <c r="BR42" s="263">
        <f t="shared" si="23"/>
        <v>0</v>
      </c>
      <c r="BS42" s="263">
        <f t="shared" si="24"/>
        <v>0</v>
      </c>
      <c r="BT42" s="107">
        <f t="shared" si="41"/>
        <v>0</v>
      </c>
      <c r="BU42" s="264">
        <f t="shared" si="49"/>
        <v>0</v>
      </c>
      <c r="BV42" s="264">
        <f t="shared" si="25"/>
        <v>0</v>
      </c>
      <c r="BW42" s="265"/>
      <c r="BX42" s="361">
        <f t="shared" si="26"/>
        <v>0</v>
      </c>
      <c r="BZ42" s="21"/>
    </row>
    <row r="43" spans="2:78" ht="15.75" customHeight="1" x14ac:dyDescent="0.55000000000000004">
      <c r="C43" s="421"/>
      <c r="D43" s="21"/>
      <c r="H43" s="505"/>
      <c r="I43" s="21"/>
      <c r="V43" s="294">
        <f t="shared" si="27"/>
        <v>55609</v>
      </c>
      <c r="W43" s="366">
        <f t="shared" si="28"/>
        <v>26</v>
      </c>
      <c r="X43" s="366" t="str">
        <f t="shared" si="29"/>
        <v>-</v>
      </c>
      <c r="Y43" s="106">
        <f t="shared" si="0"/>
        <v>0</v>
      </c>
      <c r="Z43" s="107">
        <f t="shared" si="1"/>
        <v>0</v>
      </c>
      <c r="AA43" s="107">
        <f t="shared" si="2"/>
        <v>0</v>
      </c>
      <c r="AB43" s="107">
        <f t="shared" si="3"/>
        <v>0</v>
      </c>
      <c r="AC43" s="108">
        <f t="shared" si="43"/>
        <v>0</v>
      </c>
      <c r="AD43" s="106">
        <f t="shared" si="4"/>
        <v>0</v>
      </c>
      <c r="AE43" s="107">
        <f t="shared" si="5"/>
        <v>0</v>
      </c>
      <c r="AF43" s="107">
        <f t="shared" si="31"/>
        <v>0</v>
      </c>
      <c r="AG43" s="368">
        <f>IF(AND($W43&gt;$O$83, SUM($AA$17:AA42)&gt;0,SUM($AG$17:AG42)&lt;$O$79),$O$82,0)</f>
        <v>0</v>
      </c>
      <c r="AH43" s="107">
        <f>IF(SUM($AA$18:$AA42)&gt;0,($O$79-SUM($AG$18:$AG42))*$F$88,0)</f>
        <v>0</v>
      </c>
      <c r="AI43" s="108">
        <f t="shared" si="32"/>
        <v>0</v>
      </c>
      <c r="AJ43" s="113">
        <f t="shared" si="6"/>
        <v>0</v>
      </c>
      <c r="AK43" s="115">
        <f t="shared" si="33"/>
        <v>0</v>
      </c>
      <c r="AL43" s="277"/>
      <c r="AM43" s="264">
        <f t="shared" si="7"/>
        <v>0</v>
      </c>
      <c r="AN43" s="278"/>
      <c r="AO43" s="266">
        <f t="shared" si="8"/>
        <v>0</v>
      </c>
      <c r="AP43" s="263">
        <f t="shared" si="9"/>
        <v>0</v>
      </c>
      <c r="AQ43" s="263">
        <f t="shared" si="10"/>
        <v>0</v>
      </c>
      <c r="AR43" s="260">
        <f t="shared" si="11"/>
        <v>0</v>
      </c>
      <c r="AS43" s="261">
        <f t="shared" si="44"/>
        <v>0</v>
      </c>
      <c r="AT43" s="260">
        <f t="shared" si="12"/>
        <v>0</v>
      </c>
      <c r="AU43" s="260">
        <f t="shared" si="13"/>
        <v>0</v>
      </c>
      <c r="AV43" s="260">
        <f t="shared" si="14"/>
        <v>0</v>
      </c>
      <c r="AW43" s="260">
        <f t="shared" si="15"/>
        <v>0</v>
      </c>
      <c r="AX43" s="368">
        <f t="shared" si="35"/>
        <v>0</v>
      </c>
      <c r="AY43" s="260">
        <f t="shared" si="16"/>
        <v>0</v>
      </c>
      <c r="AZ43" s="368">
        <f>IF(AND($W43&gt;$P$83, SUM($AQ$17:AQ42)&gt;0,SUM($AZ$17:AZ42)&lt;$P$79),$P$82,0)</f>
        <v>0</v>
      </c>
      <c r="BA43" s="107">
        <f>IF(SUM($AQ$18:$AQ42)&gt;0,($P$79-SUM($AZ$18:$AZ42))*$F$88,0)</f>
        <v>0</v>
      </c>
      <c r="BB43" s="261">
        <f t="shared" si="36"/>
        <v>0</v>
      </c>
      <c r="BC43" s="263">
        <f t="shared" si="37"/>
        <v>0</v>
      </c>
      <c r="BD43" s="264">
        <f t="shared" si="17"/>
        <v>0</v>
      </c>
      <c r="BE43" s="280"/>
      <c r="BF43" s="180">
        <f t="shared" si="38"/>
        <v>0.38078054214651069</v>
      </c>
      <c r="BH43" s="266">
        <f t="shared" si="47"/>
        <v>0</v>
      </c>
      <c r="BI43" s="266">
        <f t="shared" si="47"/>
        <v>0</v>
      </c>
      <c r="BJ43" s="263">
        <f t="shared" si="47"/>
        <v>0</v>
      </c>
      <c r="BK43" s="263">
        <f t="shared" si="47"/>
        <v>0</v>
      </c>
      <c r="BL43" s="263">
        <f t="shared" si="40"/>
        <v>0</v>
      </c>
      <c r="BM43" s="260">
        <f t="shared" si="18"/>
        <v>0</v>
      </c>
      <c r="BN43" s="264">
        <f t="shared" si="48"/>
        <v>0</v>
      </c>
      <c r="BO43" s="263">
        <f t="shared" si="20"/>
        <v>0</v>
      </c>
      <c r="BP43" s="263">
        <f t="shared" si="21"/>
        <v>0</v>
      </c>
      <c r="BQ43" s="263">
        <f t="shared" si="22"/>
        <v>0</v>
      </c>
      <c r="BR43" s="263">
        <f t="shared" si="23"/>
        <v>0</v>
      </c>
      <c r="BS43" s="263">
        <f t="shared" si="24"/>
        <v>0</v>
      </c>
      <c r="BT43" s="107">
        <f t="shared" si="41"/>
        <v>0</v>
      </c>
      <c r="BU43" s="264">
        <f t="shared" si="49"/>
        <v>0</v>
      </c>
      <c r="BV43" s="264">
        <f t="shared" si="25"/>
        <v>0</v>
      </c>
      <c r="BW43" s="265"/>
      <c r="BX43" s="361">
        <f t="shared" si="26"/>
        <v>0</v>
      </c>
      <c r="BZ43" s="21"/>
    </row>
    <row r="44" spans="2:78" ht="15.75" customHeight="1" x14ac:dyDescent="0.55000000000000004">
      <c r="H44" s="505"/>
      <c r="I44" s="21"/>
      <c r="V44" s="294">
        <f t="shared" si="27"/>
        <v>55974</v>
      </c>
      <c r="W44" s="366">
        <f t="shared" si="28"/>
        <v>27</v>
      </c>
      <c r="X44" s="366" t="str">
        <f t="shared" si="29"/>
        <v>-</v>
      </c>
      <c r="Y44" s="106">
        <f t="shared" si="0"/>
        <v>0</v>
      </c>
      <c r="Z44" s="107">
        <f t="shared" si="1"/>
        <v>0</v>
      </c>
      <c r="AA44" s="107">
        <f t="shared" si="2"/>
        <v>0</v>
      </c>
      <c r="AB44" s="107">
        <f t="shared" si="3"/>
        <v>0</v>
      </c>
      <c r="AC44" s="108">
        <f t="shared" si="43"/>
        <v>0</v>
      </c>
      <c r="AD44" s="106">
        <f t="shared" si="4"/>
        <v>0</v>
      </c>
      <c r="AE44" s="107">
        <f t="shared" si="5"/>
        <v>0</v>
      </c>
      <c r="AF44" s="107">
        <f t="shared" si="31"/>
        <v>0</v>
      </c>
      <c r="AG44" s="368">
        <f>IF(AND($W44&gt;$O$83, SUM($AA$17:AA43)&gt;0,SUM($AG$17:AG43)&lt;$O$79),$O$82,0)</f>
        <v>0</v>
      </c>
      <c r="AH44" s="107">
        <f>IF(SUM($AA$18:$AA43)&gt;0,($O$79-SUM($AG$18:$AG43))*$F$88,0)</f>
        <v>0</v>
      </c>
      <c r="AI44" s="108">
        <f t="shared" si="32"/>
        <v>0</v>
      </c>
      <c r="AJ44" s="113">
        <f t="shared" si="6"/>
        <v>0</v>
      </c>
      <c r="AK44" s="115">
        <f t="shared" si="33"/>
        <v>0</v>
      </c>
      <c r="AL44" s="277"/>
      <c r="AM44" s="264">
        <f t="shared" si="7"/>
        <v>0</v>
      </c>
      <c r="AN44" s="278"/>
      <c r="AO44" s="266">
        <f t="shared" si="8"/>
        <v>0</v>
      </c>
      <c r="AP44" s="263">
        <f t="shared" si="9"/>
        <v>0</v>
      </c>
      <c r="AQ44" s="263">
        <f t="shared" si="10"/>
        <v>0</v>
      </c>
      <c r="AR44" s="260">
        <f t="shared" si="11"/>
        <v>0</v>
      </c>
      <c r="AS44" s="261">
        <f t="shared" si="44"/>
        <v>0</v>
      </c>
      <c r="AT44" s="260">
        <f t="shared" si="12"/>
        <v>0</v>
      </c>
      <c r="AU44" s="260">
        <f t="shared" si="13"/>
        <v>0</v>
      </c>
      <c r="AV44" s="260">
        <f t="shared" si="14"/>
        <v>0</v>
      </c>
      <c r="AW44" s="260">
        <f t="shared" si="15"/>
        <v>0</v>
      </c>
      <c r="AX44" s="368">
        <f t="shared" si="35"/>
        <v>0</v>
      </c>
      <c r="AY44" s="260">
        <f t="shared" si="16"/>
        <v>0</v>
      </c>
      <c r="AZ44" s="368">
        <f>IF(AND($W44&gt;$P$83, SUM($AQ$17:AQ43)&gt;0,SUM($AZ$17:AZ43)&lt;$P$79),$P$82,0)</f>
        <v>0</v>
      </c>
      <c r="BA44" s="107">
        <f>IF(SUM($AQ$18:$AQ43)&gt;0,($P$79-SUM($AZ$18:$AZ43))*$F$88,0)</f>
        <v>0</v>
      </c>
      <c r="BB44" s="261">
        <f t="shared" si="36"/>
        <v>0</v>
      </c>
      <c r="BC44" s="263">
        <f t="shared" si="37"/>
        <v>0</v>
      </c>
      <c r="BD44" s="264">
        <f t="shared" si="17"/>
        <v>0</v>
      </c>
      <c r="BE44" s="280"/>
      <c r="BF44" s="180">
        <f t="shared" si="38"/>
        <v>0.36689927497702979</v>
      </c>
      <c r="BH44" s="266">
        <f t="shared" si="47"/>
        <v>0</v>
      </c>
      <c r="BI44" s="266">
        <f t="shared" si="47"/>
        <v>0</v>
      </c>
      <c r="BJ44" s="263">
        <f t="shared" si="47"/>
        <v>0</v>
      </c>
      <c r="BK44" s="263">
        <f t="shared" si="47"/>
        <v>0</v>
      </c>
      <c r="BL44" s="263">
        <f t="shared" si="40"/>
        <v>0</v>
      </c>
      <c r="BM44" s="260">
        <f t="shared" si="18"/>
        <v>0</v>
      </c>
      <c r="BN44" s="264">
        <f t="shared" si="48"/>
        <v>0</v>
      </c>
      <c r="BO44" s="263">
        <f t="shared" si="20"/>
        <v>0</v>
      </c>
      <c r="BP44" s="263">
        <f t="shared" si="21"/>
        <v>0</v>
      </c>
      <c r="BQ44" s="263">
        <f t="shared" si="22"/>
        <v>0</v>
      </c>
      <c r="BR44" s="263">
        <f t="shared" si="23"/>
        <v>0</v>
      </c>
      <c r="BS44" s="263">
        <f t="shared" si="24"/>
        <v>0</v>
      </c>
      <c r="BT44" s="107">
        <f t="shared" si="41"/>
        <v>0</v>
      </c>
      <c r="BU44" s="264">
        <f t="shared" si="49"/>
        <v>0</v>
      </c>
      <c r="BV44" s="264">
        <f t="shared" si="25"/>
        <v>0</v>
      </c>
      <c r="BW44" s="265"/>
      <c r="BX44" s="361">
        <f t="shared" si="26"/>
        <v>0</v>
      </c>
      <c r="BZ44" s="21"/>
    </row>
    <row r="45" spans="2:78" ht="15.75" customHeight="1" x14ac:dyDescent="0.45">
      <c r="B45" s="223" t="s">
        <v>168</v>
      </c>
      <c r="D45" s="191" t="s">
        <v>21</v>
      </c>
      <c r="F45" s="184">
        <f>SUM(F46:F47)</f>
        <v>50</v>
      </c>
      <c r="H45" s="505"/>
      <c r="I45" s="21"/>
      <c r="J45" s="223" t="s">
        <v>168</v>
      </c>
      <c r="O45" s="21" t="s">
        <v>55</v>
      </c>
      <c r="P45" s="21" t="s">
        <v>98</v>
      </c>
      <c r="V45" s="294">
        <f t="shared" si="27"/>
        <v>56339</v>
      </c>
      <c r="W45" s="366">
        <f t="shared" si="28"/>
        <v>28</v>
      </c>
      <c r="X45" s="366" t="str">
        <f t="shared" si="29"/>
        <v>-</v>
      </c>
      <c r="Y45" s="106">
        <f t="shared" si="0"/>
        <v>0</v>
      </c>
      <c r="Z45" s="107">
        <f t="shared" si="1"/>
        <v>0</v>
      </c>
      <c r="AA45" s="107">
        <f t="shared" si="2"/>
        <v>0</v>
      </c>
      <c r="AB45" s="107">
        <f t="shared" si="3"/>
        <v>0</v>
      </c>
      <c r="AC45" s="108">
        <f t="shared" si="43"/>
        <v>0</v>
      </c>
      <c r="AD45" s="106">
        <f t="shared" si="4"/>
        <v>0</v>
      </c>
      <c r="AE45" s="107">
        <f t="shared" si="5"/>
        <v>0</v>
      </c>
      <c r="AF45" s="107">
        <f t="shared" si="31"/>
        <v>0</v>
      </c>
      <c r="AG45" s="368">
        <f>IF(AND($W45&gt;$O$83, SUM($AA$17:AA44)&gt;0,SUM($AG$17:AG44)&lt;$O$79),$O$82,0)</f>
        <v>0</v>
      </c>
      <c r="AH45" s="107">
        <f>IF(SUM($AA$18:$AA44)&gt;0,($O$79-SUM($AG$18:$AG44))*$F$88,0)</f>
        <v>0</v>
      </c>
      <c r="AI45" s="108">
        <f t="shared" si="32"/>
        <v>0</v>
      </c>
      <c r="AJ45" s="113">
        <f t="shared" si="6"/>
        <v>0</v>
      </c>
      <c r="AK45" s="115">
        <f t="shared" si="33"/>
        <v>0</v>
      </c>
      <c r="AL45" s="277"/>
      <c r="AM45" s="264">
        <f t="shared" si="7"/>
        <v>0</v>
      </c>
      <c r="AN45" s="278"/>
      <c r="AO45" s="266">
        <f t="shared" si="8"/>
        <v>0</v>
      </c>
      <c r="AP45" s="263">
        <f t="shared" si="9"/>
        <v>0</v>
      </c>
      <c r="AQ45" s="263">
        <f t="shared" si="10"/>
        <v>0</v>
      </c>
      <c r="AR45" s="260">
        <f t="shared" si="11"/>
        <v>0</v>
      </c>
      <c r="AS45" s="261">
        <f t="shared" si="44"/>
        <v>0</v>
      </c>
      <c r="AT45" s="260">
        <f t="shared" si="12"/>
        <v>0</v>
      </c>
      <c r="AU45" s="260">
        <f t="shared" si="13"/>
        <v>0</v>
      </c>
      <c r="AV45" s="260">
        <f t="shared" si="14"/>
        <v>0</v>
      </c>
      <c r="AW45" s="260">
        <f t="shared" si="15"/>
        <v>0</v>
      </c>
      <c r="AX45" s="368">
        <f t="shared" si="35"/>
        <v>0</v>
      </c>
      <c r="AY45" s="260">
        <f t="shared" si="16"/>
        <v>0</v>
      </c>
      <c r="AZ45" s="368">
        <f>IF(AND($W45&gt;$P$83, SUM($AQ$17:AQ44)&gt;0,SUM($AZ$17:AZ44)&lt;$P$79),$P$82,0)</f>
        <v>0</v>
      </c>
      <c r="BA45" s="107">
        <f>IF(SUM($AQ$18:$AQ44)&gt;0,($P$79-SUM($AZ$18:$AZ44))*$F$88,0)</f>
        <v>0</v>
      </c>
      <c r="BB45" s="261">
        <f t="shared" si="36"/>
        <v>0</v>
      </c>
      <c r="BC45" s="263">
        <f t="shared" si="37"/>
        <v>0</v>
      </c>
      <c r="BD45" s="264">
        <f t="shared" si="17"/>
        <v>0</v>
      </c>
      <c r="BE45" s="280"/>
      <c r="BF45" s="180">
        <f t="shared" si="38"/>
        <v>0.35352404621262151</v>
      </c>
      <c r="BH45" s="266">
        <f t="shared" si="47"/>
        <v>0</v>
      </c>
      <c r="BI45" s="266">
        <f t="shared" si="47"/>
        <v>0</v>
      </c>
      <c r="BJ45" s="263">
        <f t="shared" si="47"/>
        <v>0</v>
      </c>
      <c r="BK45" s="263">
        <f t="shared" si="47"/>
        <v>0</v>
      </c>
      <c r="BL45" s="263">
        <f t="shared" si="40"/>
        <v>0</v>
      </c>
      <c r="BM45" s="260">
        <f t="shared" si="18"/>
        <v>0</v>
      </c>
      <c r="BN45" s="264">
        <f t="shared" si="48"/>
        <v>0</v>
      </c>
      <c r="BO45" s="263">
        <f t="shared" si="20"/>
        <v>0</v>
      </c>
      <c r="BP45" s="263">
        <f t="shared" si="21"/>
        <v>0</v>
      </c>
      <c r="BQ45" s="263">
        <f t="shared" si="22"/>
        <v>0</v>
      </c>
      <c r="BR45" s="263">
        <f t="shared" si="23"/>
        <v>0</v>
      </c>
      <c r="BS45" s="263">
        <f t="shared" si="24"/>
        <v>0</v>
      </c>
      <c r="BT45" s="107">
        <f t="shared" si="41"/>
        <v>0</v>
      </c>
      <c r="BU45" s="264">
        <f t="shared" si="49"/>
        <v>0</v>
      </c>
      <c r="BV45" s="264">
        <f t="shared" si="25"/>
        <v>0</v>
      </c>
      <c r="BW45" s="265"/>
      <c r="BX45" s="361">
        <f t="shared" si="26"/>
        <v>0</v>
      </c>
      <c r="BZ45" s="21"/>
    </row>
    <row r="46" spans="2:78" ht="15.75" customHeight="1" x14ac:dyDescent="0.45">
      <c r="C46" s="21" t="s">
        <v>153</v>
      </c>
      <c r="D46" s="191" t="s">
        <v>21</v>
      </c>
      <c r="F46" s="156">
        <f>事業費用概算!G27</f>
        <v>0</v>
      </c>
      <c r="H46" s="505"/>
      <c r="I46" s="21"/>
      <c r="K46" s="21" t="s">
        <v>170</v>
      </c>
      <c r="N46" s="191" t="s">
        <v>21</v>
      </c>
      <c r="O46" s="189">
        <f>F45*F65</f>
        <v>47.5</v>
      </c>
      <c r="P46" s="91">
        <f>F45*(1-F67)</f>
        <v>47.5</v>
      </c>
      <c r="Q46" s="21" t="s">
        <v>155</v>
      </c>
      <c r="V46" s="294">
        <f t="shared" si="27"/>
        <v>56704</v>
      </c>
      <c r="W46" s="366">
        <f t="shared" si="28"/>
        <v>29</v>
      </c>
      <c r="X46" s="366" t="str">
        <f t="shared" si="29"/>
        <v>-</v>
      </c>
      <c r="Y46" s="106">
        <f t="shared" si="0"/>
        <v>0</v>
      </c>
      <c r="Z46" s="107">
        <f t="shared" si="1"/>
        <v>0</v>
      </c>
      <c r="AA46" s="107">
        <f t="shared" si="2"/>
        <v>0</v>
      </c>
      <c r="AB46" s="107">
        <f t="shared" si="3"/>
        <v>0</v>
      </c>
      <c r="AC46" s="108">
        <f t="shared" si="43"/>
        <v>0</v>
      </c>
      <c r="AD46" s="106">
        <f t="shared" si="4"/>
        <v>0</v>
      </c>
      <c r="AE46" s="107">
        <f t="shared" si="5"/>
        <v>0</v>
      </c>
      <c r="AF46" s="107">
        <f t="shared" si="31"/>
        <v>0</v>
      </c>
      <c r="AG46" s="368">
        <f>IF(AND($W46&gt;$O$83, SUM($AA$17:AA45)&gt;0,SUM($AG$17:AG45)&lt;$O$79),$O$82,0)</f>
        <v>0</v>
      </c>
      <c r="AH46" s="107">
        <f>IF(SUM($AA$18:$AA45)&gt;0,($O$79-SUM($AG$18:$AG45))*$F$88,0)</f>
        <v>0</v>
      </c>
      <c r="AI46" s="108">
        <f t="shared" si="32"/>
        <v>0</v>
      </c>
      <c r="AJ46" s="113">
        <f t="shared" si="6"/>
        <v>0</v>
      </c>
      <c r="AK46" s="115">
        <f t="shared" si="33"/>
        <v>0</v>
      </c>
      <c r="AL46" s="277"/>
      <c r="AM46" s="264">
        <f t="shared" si="7"/>
        <v>0</v>
      </c>
      <c r="AN46" s="278"/>
      <c r="AO46" s="266">
        <f t="shared" si="8"/>
        <v>0</v>
      </c>
      <c r="AP46" s="263">
        <f t="shared" si="9"/>
        <v>0</v>
      </c>
      <c r="AQ46" s="263">
        <f t="shared" si="10"/>
        <v>0</v>
      </c>
      <c r="AR46" s="260">
        <f t="shared" si="11"/>
        <v>0</v>
      </c>
      <c r="AS46" s="261">
        <f t="shared" si="44"/>
        <v>0</v>
      </c>
      <c r="AT46" s="260">
        <f t="shared" si="12"/>
        <v>0</v>
      </c>
      <c r="AU46" s="260">
        <f t="shared" si="13"/>
        <v>0</v>
      </c>
      <c r="AV46" s="260">
        <f t="shared" si="14"/>
        <v>0</v>
      </c>
      <c r="AW46" s="260">
        <f t="shared" si="15"/>
        <v>0</v>
      </c>
      <c r="AX46" s="368">
        <f t="shared" si="35"/>
        <v>0</v>
      </c>
      <c r="AY46" s="260">
        <f t="shared" si="16"/>
        <v>0</v>
      </c>
      <c r="AZ46" s="368">
        <f>IF(AND($W46&gt;$P$83, SUM($AQ$17:AQ45)&gt;0,SUM($AZ$17:AZ45)&lt;$P$79),$P$82,0)</f>
        <v>0</v>
      </c>
      <c r="BA46" s="107">
        <f>IF(SUM($AQ$18:$AQ45)&gt;0,($P$79-SUM($AZ$18:$AZ45))*$F$88,0)</f>
        <v>0</v>
      </c>
      <c r="BB46" s="261">
        <f t="shared" si="36"/>
        <v>0</v>
      </c>
      <c r="BC46" s="263">
        <f t="shared" si="37"/>
        <v>0</v>
      </c>
      <c r="BD46" s="264">
        <f t="shared" si="17"/>
        <v>0</v>
      </c>
      <c r="BE46" s="280"/>
      <c r="BF46" s="180">
        <f t="shared" si="38"/>
        <v>0.3406364083395047</v>
      </c>
      <c r="BH46" s="266">
        <f t="shared" si="47"/>
        <v>0</v>
      </c>
      <c r="BI46" s="266">
        <f t="shared" si="47"/>
        <v>0</v>
      </c>
      <c r="BJ46" s="263">
        <f t="shared" si="47"/>
        <v>0</v>
      </c>
      <c r="BK46" s="263">
        <f t="shared" si="47"/>
        <v>0</v>
      </c>
      <c r="BL46" s="263">
        <f t="shared" si="40"/>
        <v>0</v>
      </c>
      <c r="BM46" s="260">
        <f t="shared" si="18"/>
        <v>0</v>
      </c>
      <c r="BN46" s="264">
        <f t="shared" si="48"/>
        <v>0</v>
      </c>
      <c r="BO46" s="263">
        <f t="shared" si="20"/>
        <v>0</v>
      </c>
      <c r="BP46" s="263">
        <f t="shared" si="21"/>
        <v>0</v>
      </c>
      <c r="BQ46" s="263">
        <f t="shared" si="22"/>
        <v>0</v>
      </c>
      <c r="BR46" s="263">
        <f t="shared" si="23"/>
        <v>0</v>
      </c>
      <c r="BS46" s="263">
        <f t="shared" si="24"/>
        <v>0</v>
      </c>
      <c r="BT46" s="107">
        <f t="shared" si="41"/>
        <v>0</v>
      </c>
      <c r="BU46" s="264">
        <f t="shared" si="49"/>
        <v>0</v>
      </c>
      <c r="BV46" s="264">
        <f t="shared" si="25"/>
        <v>0</v>
      </c>
      <c r="BW46" s="265"/>
      <c r="BX46" s="361">
        <f t="shared" si="26"/>
        <v>0</v>
      </c>
      <c r="BZ46" s="21"/>
    </row>
    <row r="47" spans="2:78" ht="15.75" customHeight="1" x14ac:dyDescent="0.45">
      <c r="C47" s="21" t="s">
        <v>156</v>
      </c>
      <c r="D47" s="191" t="s">
        <v>21</v>
      </c>
      <c r="F47" s="156">
        <f>事業費用概算!G28</f>
        <v>50</v>
      </c>
      <c r="H47" s="505"/>
      <c r="I47" s="21"/>
      <c r="K47" s="21" t="s">
        <v>172</v>
      </c>
      <c r="N47" s="191" t="s">
        <v>21</v>
      </c>
      <c r="O47" s="169"/>
      <c r="P47" s="143">
        <f>F72</f>
        <v>0</v>
      </c>
      <c r="Q47" s="21" t="s">
        <v>274</v>
      </c>
      <c r="V47" s="294">
        <f t="shared" si="27"/>
        <v>57070</v>
      </c>
      <c r="W47" s="366">
        <f t="shared" si="28"/>
        <v>30</v>
      </c>
      <c r="X47" s="366" t="str">
        <f t="shared" si="29"/>
        <v>-</v>
      </c>
      <c r="Y47" s="106">
        <f t="shared" si="0"/>
        <v>0</v>
      </c>
      <c r="Z47" s="107">
        <f t="shared" si="1"/>
        <v>0</v>
      </c>
      <c r="AA47" s="107">
        <f t="shared" si="2"/>
        <v>0</v>
      </c>
      <c r="AB47" s="107">
        <f t="shared" si="3"/>
        <v>0</v>
      </c>
      <c r="AC47" s="108">
        <f t="shared" si="43"/>
        <v>0</v>
      </c>
      <c r="AD47" s="106">
        <f t="shared" si="4"/>
        <v>0</v>
      </c>
      <c r="AE47" s="107">
        <f t="shared" si="5"/>
        <v>0</v>
      </c>
      <c r="AF47" s="107">
        <f t="shared" si="31"/>
        <v>0</v>
      </c>
      <c r="AG47" s="368">
        <f>IF(AND($W47&gt;$O$83, SUM($AA$17:AA46)&gt;0,SUM($AG$17:AG46)&lt;$O$79),$O$82,0)</f>
        <v>0</v>
      </c>
      <c r="AH47" s="107">
        <f>IF(SUM($AA$18:$AA46)&gt;0,($O$79-SUM($AG$18:$AG46))*$F$88,0)</f>
        <v>0</v>
      </c>
      <c r="AI47" s="108">
        <f t="shared" si="32"/>
        <v>0</v>
      </c>
      <c r="AJ47" s="113">
        <f t="shared" si="6"/>
        <v>0</v>
      </c>
      <c r="AK47" s="115">
        <f t="shared" si="33"/>
        <v>0</v>
      </c>
      <c r="AL47" s="277"/>
      <c r="AM47" s="264">
        <f t="shared" si="7"/>
        <v>0</v>
      </c>
      <c r="AN47" s="278"/>
      <c r="AO47" s="266">
        <f t="shared" si="8"/>
        <v>0</v>
      </c>
      <c r="AP47" s="263">
        <f t="shared" si="9"/>
        <v>0</v>
      </c>
      <c r="AQ47" s="263">
        <f t="shared" si="10"/>
        <v>0</v>
      </c>
      <c r="AR47" s="260">
        <f t="shared" si="11"/>
        <v>0</v>
      </c>
      <c r="AS47" s="261">
        <f t="shared" si="44"/>
        <v>0</v>
      </c>
      <c r="AT47" s="260">
        <f t="shared" si="12"/>
        <v>0</v>
      </c>
      <c r="AU47" s="260">
        <f t="shared" si="13"/>
        <v>0</v>
      </c>
      <c r="AV47" s="260">
        <f t="shared" si="14"/>
        <v>0</v>
      </c>
      <c r="AW47" s="260">
        <f t="shared" si="15"/>
        <v>0</v>
      </c>
      <c r="AX47" s="368">
        <f t="shared" si="35"/>
        <v>0</v>
      </c>
      <c r="AY47" s="260">
        <f t="shared" si="16"/>
        <v>0</v>
      </c>
      <c r="AZ47" s="368">
        <f>IF(AND($W47&gt;$P$83, SUM($AQ$17:AQ46)&gt;0,SUM($AZ$17:AZ46)&lt;$P$79),$P$82,0)</f>
        <v>0</v>
      </c>
      <c r="BA47" s="107">
        <f>IF(SUM($AQ$18:$AQ46)&gt;0,($P$79-SUM($AZ$18:$AZ46))*$F$88,0)</f>
        <v>0</v>
      </c>
      <c r="BB47" s="261">
        <f t="shared" si="36"/>
        <v>0</v>
      </c>
      <c r="BC47" s="263">
        <f t="shared" si="37"/>
        <v>0</v>
      </c>
      <c r="BD47" s="264">
        <f t="shared" si="17"/>
        <v>0</v>
      </c>
      <c r="BE47" s="280"/>
      <c r="BF47" s="181">
        <f t="shared" si="38"/>
        <v>0.32821858634377438</v>
      </c>
      <c r="BH47" s="266">
        <f t="shared" si="47"/>
        <v>0</v>
      </c>
      <c r="BI47" s="266">
        <f t="shared" si="47"/>
        <v>0</v>
      </c>
      <c r="BJ47" s="263">
        <f t="shared" si="47"/>
        <v>0</v>
      </c>
      <c r="BK47" s="263">
        <f t="shared" si="47"/>
        <v>0</v>
      </c>
      <c r="BL47" s="263">
        <f t="shared" si="40"/>
        <v>0</v>
      </c>
      <c r="BM47" s="260">
        <f t="shared" si="18"/>
        <v>0</v>
      </c>
      <c r="BN47" s="261">
        <f t="shared" si="48"/>
        <v>0</v>
      </c>
      <c r="BO47" s="263">
        <f t="shared" si="20"/>
        <v>0</v>
      </c>
      <c r="BP47" s="263">
        <f t="shared" si="21"/>
        <v>0</v>
      </c>
      <c r="BQ47" s="263">
        <f t="shared" si="22"/>
        <v>0</v>
      </c>
      <c r="BR47" s="263">
        <f t="shared" si="23"/>
        <v>0</v>
      </c>
      <c r="BS47" s="263">
        <f t="shared" si="24"/>
        <v>0</v>
      </c>
      <c r="BT47" s="107">
        <f t="shared" si="41"/>
        <v>0</v>
      </c>
      <c r="BU47" s="264">
        <f t="shared" si="49"/>
        <v>0</v>
      </c>
      <c r="BV47" s="261">
        <f t="shared" si="25"/>
        <v>0</v>
      </c>
      <c r="BW47" s="265"/>
      <c r="BX47" s="361">
        <f t="shared" si="26"/>
        <v>0</v>
      </c>
      <c r="BZ47" s="21"/>
    </row>
    <row r="48" spans="2:78" ht="15.75" customHeight="1" thickBot="1" x14ac:dyDescent="0.6">
      <c r="H48" s="505"/>
      <c r="I48" s="21"/>
      <c r="K48" s="21" t="s">
        <v>174</v>
      </c>
      <c r="N48" s="191" t="s">
        <v>21</v>
      </c>
      <c r="O48" s="91">
        <f>O46-O47</f>
        <v>47.5</v>
      </c>
      <c r="P48" s="91">
        <f>P46-P47</f>
        <v>47.5</v>
      </c>
      <c r="Y48" s="127"/>
      <c r="Z48" s="127"/>
      <c r="AA48" s="95"/>
      <c r="AB48" s="95"/>
      <c r="AC48" s="95"/>
      <c r="AD48" s="95"/>
      <c r="AE48" s="95"/>
      <c r="AF48" s="95"/>
      <c r="AG48" s="107"/>
      <c r="AH48" s="113"/>
      <c r="AI48" s="95"/>
      <c r="AJ48" s="95"/>
      <c r="AK48" s="95"/>
      <c r="AL48" s="95"/>
      <c r="AM48" s="95"/>
      <c r="AN48" s="98"/>
      <c r="AO48" s="95"/>
      <c r="AP48" s="95"/>
      <c r="AQ48" s="95"/>
      <c r="AR48" s="95"/>
      <c r="AS48" s="95"/>
      <c r="AT48" s="95"/>
      <c r="AU48" s="95"/>
      <c r="AV48" s="95"/>
      <c r="AW48" s="95"/>
      <c r="AX48" s="95"/>
      <c r="AY48" s="95"/>
      <c r="AZ48" s="95"/>
      <c r="BA48" s="95"/>
      <c r="BB48" s="95"/>
      <c r="BC48" s="95"/>
      <c r="BD48" s="95"/>
      <c r="BH48" s="95"/>
      <c r="BI48" s="95"/>
      <c r="BJ48" s="95"/>
      <c r="BK48" s="95"/>
      <c r="BL48" s="95"/>
      <c r="BM48" s="95"/>
      <c r="BN48" s="95"/>
      <c r="BO48" s="95"/>
      <c r="BP48" s="95"/>
      <c r="BQ48" s="95"/>
      <c r="BR48" s="95"/>
      <c r="BS48" s="95"/>
      <c r="BT48" s="95"/>
      <c r="BU48" s="95"/>
      <c r="BV48" s="95"/>
      <c r="BW48" s="98"/>
      <c r="BZ48" s="21"/>
    </row>
    <row r="49" spans="1:78" ht="15.75" customHeight="1" thickTop="1" x14ac:dyDescent="0.55000000000000004">
      <c r="E49" s="22"/>
      <c r="F49" s="22"/>
      <c r="H49" s="505"/>
      <c r="I49" s="21"/>
      <c r="K49" s="21" t="s">
        <v>175</v>
      </c>
      <c r="N49" s="191" t="s">
        <v>21</v>
      </c>
      <c r="O49" s="91">
        <f>O48*$F$19</f>
        <v>950</v>
      </c>
      <c r="P49" s="91">
        <f>P48*$F$19</f>
        <v>950</v>
      </c>
      <c r="X49" s="128" t="s">
        <v>68</v>
      </c>
      <c r="Y49" s="131">
        <f t="shared" ref="Y49:AK49" si="50">SUM(Y18:Y47)</f>
        <v>0</v>
      </c>
      <c r="Z49" s="131">
        <f t="shared" si="50"/>
        <v>0</v>
      </c>
      <c r="AA49" s="131">
        <f t="shared" si="50"/>
        <v>0</v>
      </c>
      <c r="AB49" s="131">
        <f t="shared" si="50"/>
        <v>0</v>
      </c>
      <c r="AC49" s="131">
        <f t="shared" si="50"/>
        <v>0</v>
      </c>
      <c r="AD49" s="131">
        <f t="shared" si="50"/>
        <v>0</v>
      </c>
      <c r="AE49" s="131">
        <f t="shared" si="50"/>
        <v>950</v>
      </c>
      <c r="AF49" s="131">
        <f t="shared" si="50"/>
        <v>200</v>
      </c>
      <c r="AG49" s="131">
        <f t="shared" si="50"/>
        <v>0</v>
      </c>
      <c r="AH49" s="131">
        <f t="shared" si="50"/>
        <v>0</v>
      </c>
      <c r="AI49" s="131">
        <f t="shared" si="50"/>
        <v>1150</v>
      </c>
      <c r="AJ49" s="306">
        <f t="shared" si="50"/>
        <v>-1150</v>
      </c>
      <c r="AK49" s="306">
        <f t="shared" si="50"/>
        <v>0</v>
      </c>
      <c r="AL49" s="502">
        <f>SUM(AJ49,AL17)</f>
        <v>-1150</v>
      </c>
      <c r="AM49" s="503">
        <f>SUM(AM17:AM48)</f>
        <v>-796.64815959540124</v>
      </c>
      <c r="AN49" s="265"/>
      <c r="AO49" s="131">
        <f t="shared" ref="AO49:BD49" si="51">SUM(AO18:AO47)</f>
        <v>0</v>
      </c>
      <c r="AP49" s="131">
        <f t="shared" si="51"/>
        <v>0</v>
      </c>
      <c r="AQ49" s="131">
        <f t="shared" si="51"/>
        <v>0</v>
      </c>
      <c r="AR49" s="131">
        <f t="shared" si="51"/>
        <v>0</v>
      </c>
      <c r="AS49" s="131">
        <f t="shared" si="51"/>
        <v>0</v>
      </c>
      <c r="AT49" s="131">
        <f t="shared" si="51"/>
        <v>0</v>
      </c>
      <c r="AU49" s="131">
        <f t="shared" si="51"/>
        <v>0</v>
      </c>
      <c r="AV49" s="131">
        <f t="shared" si="51"/>
        <v>0</v>
      </c>
      <c r="AW49" s="131">
        <f t="shared" si="51"/>
        <v>950</v>
      </c>
      <c r="AX49" s="131">
        <f t="shared" si="51"/>
        <v>200</v>
      </c>
      <c r="AY49" s="131">
        <f t="shared" si="51"/>
        <v>0</v>
      </c>
      <c r="AZ49" s="131">
        <f t="shared" si="51"/>
        <v>0</v>
      </c>
      <c r="BA49" s="131">
        <f t="shared" si="51"/>
        <v>0</v>
      </c>
      <c r="BB49" s="131">
        <f t="shared" si="51"/>
        <v>1150</v>
      </c>
      <c r="BC49" s="306">
        <f t="shared" si="51"/>
        <v>-1150</v>
      </c>
      <c r="BD49" s="306">
        <f t="shared" si="51"/>
        <v>-796.64815959540124</v>
      </c>
      <c r="BH49" s="131">
        <f t="shared" ref="BH49:BV49" si="52">SUM(BH18:BH47)</f>
        <v>0</v>
      </c>
      <c r="BI49" s="131">
        <f t="shared" si="52"/>
        <v>0</v>
      </c>
      <c r="BJ49" s="131">
        <f t="shared" si="52"/>
        <v>0</v>
      </c>
      <c r="BK49" s="131">
        <f t="shared" si="52"/>
        <v>950</v>
      </c>
      <c r="BL49" s="131">
        <f t="shared" si="52"/>
        <v>0</v>
      </c>
      <c r="BM49" s="131">
        <f t="shared" si="52"/>
        <v>0</v>
      </c>
      <c r="BN49" s="131">
        <f t="shared" si="52"/>
        <v>950</v>
      </c>
      <c r="BO49" s="131">
        <f t="shared" si="52"/>
        <v>0</v>
      </c>
      <c r="BP49" s="131">
        <f t="shared" si="52"/>
        <v>950</v>
      </c>
      <c r="BQ49" s="131">
        <f t="shared" si="52"/>
        <v>0</v>
      </c>
      <c r="BR49" s="131">
        <f t="shared" si="52"/>
        <v>0</v>
      </c>
      <c r="BS49" s="131">
        <f t="shared" si="52"/>
        <v>0</v>
      </c>
      <c r="BT49" s="131">
        <f t="shared" si="52"/>
        <v>0</v>
      </c>
      <c r="BU49" s="131">
        <f t="shared" si="52"/>
        <v>950</v>
      </c>
      <c r="BV49" s="131">
        <f t="shared" si="52"/>
        <v>0</v>
      </c>
      <c r="BW49" s="98"/>
      <c r="BZ49" s="21"/>
    </row>
    <row r="50" spans="1:78" ht="15.75" customHeight="1" x14ac:dyDescent="0.55000000000000004">
      <c r="E50" s="22"/>
      <c r="F50" s="22"/>
      <c r="H50" s="505"/>
      <c r="I50" s="21"/>
      <c r="O50" s="205"/>
      <c r="P50" s="205"/>
      <c r="V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Z50" s="21"/>
    </row>
    <row r="51" spans="1:78" ht="15.75" customHeight="1" x14ac:dyDescent="0.55000000000000004">
      <c r="B51" s="223" t="s">
        <v>176</v>
      </c>
      <c r="E51" s="22" t="s">
        <v>55</v>
      </c>
      <c r="F51" s="22" t="s">
        <v>98</v>
      </c>
      <c r="H51" s="505"/>
      <c r="I51" s="21"/>
      <c r="O51" s="205"/>
      <c r="P51" s="205"/>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Z51" s="21"/>
    </row>
    <row r="52" spans="1:78" ht="15.75" customHeight="1" x14ac:dyDescent="0.45">
      <c r="B52" s="223"/>
      <c r="C52" s="21" t="s">
        <v>177</v>
      </c>
      <c r="D52" s="191" t="s">
        <v>21</v>
      </c>
      <c r="E52" s="150"/>
      <c r="F52" s="412"/>
      <c r="H52" s="505"/>
      <c r="I52" s="21"/>
      <c r="T52" s="21"/>
      <c r="V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Y52" s="21"/>
      <c r="BZ52" s="21"/>
    </row>
    <row r="53" spans="1:78" ht="15.75" customHeight="1" x14ac:dyDescent="0.45">
      <c r="C53" s="21" t="s">
        <v>178</v>
      </c>
      <c r="D53" s="191" t="s">
        <v>21</v>
      </c>
      <c r="E53" s="150">
        <v>10</v>
      </c>
      <c r="F53" s="150">
        <v>10</v>
      </c>
      <c r="H53" s="505"/>
      <c r="I53" s="21"/>
      <c r="N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Z53" s="21"/>
    </row>
    <row r="54" spans="1:78" ht="15.75" customHeight="1" x14ac:dyDescent="0.55000000000000004">
      <c r="H54" s="505"/>
      <c r="I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Z54" s="21"/>
    </row>
    <row r="55" spans="1:78" ht="15.75" customHeight="1" x14ac:dyDescent="0.45">
      <c r="B55" s="223" t="s">
        <v>179</v>
      </c>
      <c r="D55" s="276" t="s">
        <v>269</v>
      </c>
      <c r="F55" s="327">
        <v>1</v>
      </c>
      <c r="G55" s="21">
        <v>0</v>
      </c>
      <c r="H55" s="505" t="s">
        <v>324</v>
      </c>
      <c r="I55" s="21"/>
      <c r="J55" s="223" t="s">
        <v>179</v>
      </c>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Z55" s="21"/>
    </row>
    <row r="56" spans="1:78" ht="15.75" customHeight="1" x14ac:dyDescent="0.45">
      <c r="G56" s="21">
        <v>1</v>
      </c>
      <c r="H56" s="505" t="s">
        <v>294</v>
      </c>
      <c r="I56" s="21"/>
      <c r="M56" s="21" t="s">
        <v>181</v>
      </c>
      <c r="N56" s="191" t="s">
        <v>21</v>
      </c>
      <c r="O56" s="169"/>
      <c r="P56" s="288">
        <f>F136</f>
        <v>0</v>
      </c>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Z56" s="21"/>
    </row>
    <row r="57" spans="1:78" ht="15.75" customHeight="1" x14ac:dyDescent="0.45">
      <c r="H57" s="505"/>
      <c r="I57" s="22"/>
      <c r="M57" s="21" t="s">
        <v>182</v>
      </c>
      <c r="N57" s="191" t="s">
        <v>21</v>
      </c>
      <c r="O57" s="170"/>
      <c r="P57" s="132">
        <f>F137*$F$18</f>
        <v>0</v>
      </c>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row>
    <row r="58" spans="1:78" ht="15.75" customHeight="1" thickBot="1" x14ac:dyDescent="0.5">
      <c r="B58" s="52"/>
      <c r="D58" s="21"/>
      <c r="H58" s="506"/>
      <c r="I58" s="21"/>
      <c r="M58" s="21" t="s">
        <v>183</v>
      </c>
      <c r="N58" s="191" t="s">
        <v>21</v>
      </c>
      <c r="O58" s="170"/>
      <c r="P58" s="132">
        <f>SUM(P105*F18, P103, P101)</f>
        <v>0</v>
      </c>
      <c r="Q58" s="21" t="s">
        <v>184</v>
      </c>
    </row>
    <row r="59" spans="1:78" ht="15.75" customHeight="1" thickBot="1" x14ac:dyDescent="0.5">
      <c r="B59" s="119"/>
      <c r="D59" s="21"/>
      <c r="H59" s="505"/>
      <c r="I59" s="21"/>
      <c r="K59" s="133" t="s">
        <v>185</v>
      </c>
      <c r="L59" s="134"/>
      <c r="M59" s="134"/>
      <c r="N59" s="194" t="s">
        <v>21</v>
      </c>
      <c r="O59" s="171"/>
      <c r="P59" s="135">
        <f>SUM(P56:P58)*$F$55</f>
        <v>0</v>
      </c>
      <c r="Q59" s="21" t="s">
        <v>186</v>
      </c>
    </row>
    <row r="60" spans="1:78" ht="15.75" customHeight="1" x14ac:dyDescent="0.45">
      <c r="B60" s="119"/>
      <c r="D60" s="21"/>
      <c r="H60" s="505"/>
      <c r="I60" s="21"/>
      <c r="M60" s="21" t="s">
        <v>187</v>
      </c>
      <c r="N60" s="191" t="s">
        <v>21</v>
      </c>
      <c r="O60" s="172"/>
      <c r="P60" s="148">
        <f>F137</f>
        <v>0</v>
      </c>
    </row>
    <row r="61" spans="1:78" ht="15.75" customHeight="1" thickBot="1" x14ac:dyDescent="0.5">
      <c r="H61" s="505"/>
      <c r="I61" s="21"/>
      <c r="M61" s="21" t="s">
        <v>188</v>
      </c>
      <c r="N61" s="191" t="s">
        <v>21</v>
      </c>
      <c r="O61" s="172"/>
      <c r="P61" s="177">
        <f>P107</f>
        <v>0</v>
      </c>
    </row>
    <row r="62" spans="1:78" ht="15.75" customHeight="1" thickBot="1" x14ac:dyDescent="0.5">
      <c r="A62" s="35"/>
      <c r="D62" s="21"/>
      <c r="H62" s="505"/>
      <c r="I62" s="21"/>
      <c r="K62" s="133" t="s">
        <v>189</v>
      </c>
      <c r="L62" s="134"/>
      <c r="M62" s="134"/>
      <c r="N62" s="194" t="s">
        <v>21</v>
      </c>
      <c r="O62" s="171"/>
      <c r="P62" s="135">
        <f>SUM(P60:P61)*$F$55</f>
        <v>0</v>
      </c>
      <c r="Q62" s="21" t="s">
        <v>190</v>
      </c>
      <c r="AL62" s="21"/>
    </row>
    <row r="63" spans="1:78" ht="15.75" customHeight="1" x14ac:dyDescent="0.55000000000000004">
      <c r="H63" s="505"/>
      <c r="I63" s="21"/>
      <c r="N63" s="21"/>
      <c r="AL63" s="21"/>
    </row>
    <row r="64" spans="1:78" ht="15.75" customHeight="1" x14ac:dyDescent="0.55000000000000004">
      <c r="B64" s="226" t="s">
        <v>270</v>
      </c>
      <c r="D64" s="21"/>
      <c r="H64" s="505"/>
      <c r="I64" s="21"/>
      <c r="J64" s="223" t="s">
        <v>192</v>
      </c>
      <c r="AL64" s="21"/>
    </row>
    <row r="65" spans="1:38" ht="15.75" customHeight="1" x14ac:dyDescent="0.45">
      <c r="C65" s="21" t="s">
        <v>193</v>
      </c>
      <c r="D65" s="191" t="s">
        <v>25</v>
      </c>
      <c r="F65" s="315">
        <v>0.95</v>
      </c>
      <c r="H65" s="505"/>
      <c r="I65" s="21"/>
      <c r="J65" s="223"/>
      <c r="K65" s="21" t="s">
        <v>59</v>
      </c>
      <c r="N65" s="191" t="s">
        <v>21</v>
      </c>
      <c r="O65" s="91">
        <f>O35/$F$65</f>
        <v>0</v>
      </c>
      <c r="AL65" s="21"/>
    </row>
    <row r="66" spans="1:38" ht="15.75" customHeight="1" x14ac:dyDescent="0.45">
      <c r="C66" s="21" t="s">
        <v>194</v>
      </c>
      <c r="D66" s="191" t="s">
        <v>25</v>
      </c>
      <c r="F66" s="418"/>
      <c r="H66" s="504" t="s">
        <v>323</v>
      </c>
      <c r="I66" s="21"/>
      <c r="J66" s="223"/>
      <c r="K66" s="21" t="s">
        <v>195</v>
      </c>
      <c r="N66" s="191" t="s">
        <v>21</v>
      </c>
      <c r="O66" s="321">
        <f>O46/$F$65*$F$19</f>
        <v>1000</v>
      </c>
      <c r="AL66" s="21"/>
    </row>
    <row r="67" spans="1:38" ht="15.75" customHeight="1" x14ac:dyDescent="0.45">
      <c r="C67" s="21" t="s">
        <v>196</v>
      </c>
      <c r="D67" s="191" t="s">
        <v>25</v>
      </c>
      <c r="F67" s="162">
        <f>事業費用概算!I32</f>
        <v>0.05</v>
      </c>
      <c r="J67" s="223"/>
      <c r="K67" s="241" t="s">
        <v>197</v>
      </c>
      <c r="L67" s="241"/>
      <c r="M67" s="241"/>
      <c r="N67" s="241" t="s">
        <v>21</v>
      </c>
      <c r="O67" s="322">
        <f>SUM(O65:O66)</f>
        <v>1000</v>
      </c>
      <c r="AL67" s="21"/>
    </row>
    <row r="68" spans="1:38" ht="15.75" customHeight="1" x14ac:dyDescent="0.45">
      <c r="O68" s="233"/>
      <c r="P68" s="234"/>
      <c r="AL68" s="21"/>
    </row>
    <row r="69" spans="1:38" ht="15.75" customHeight="1" thickBot="1" x14ac:dyDescent="0.6">
      <c r="A69" s="210" t="s">
        <v>31</v>
      </c>
      <c r="B69" s="225"/>
      <c r="C69" s="202"/>
      <c r="D69" s="203"/>
      <c r="E69" s="202"/>
      <c r="F69" s="202"/>
      <c r="G69" s="202"/>
      <c r="H69" s="202"/>
      <c r="I69" s="217" t="s">
        <v>31</v>
      </c>
      <c r="J69" s="225"/>
      <c r="K69" s="202"/>
      <c r="L69" s="202"/>
      <c r="M69" s="202"/>
      <c r="N69" s="203"/>
      <c r="O69" s="202"/>
      <c r="P69" s="202"/>
      <c r="Q69" s="202"/>
      <c r="R69" s="202"/>
      <c r="S69" s="202"/>
      <c r="T69" s="203"/>
      <c r="U69" s="202"/>
    </row>
    <row r="70" spans="1:38" ht="15.75" customHeight="1" x14ac:dyDescent="0.55000000000000004"/>
    <row r="71" spans="1:38" ht="15.75" customHeight="1" x14ac:dyDescent="0.55000000000000004">
      <c r="B71" s="228" t="s">
        <v>198</v>
      </c>
      <c r="C71" s="422"/>
      <c r="D71" s="21"/>
    </row>
    <row r="72" spans="1:38" ht="15.75" customHeight="1" x14ac:dyDescent="0.45">
      <c r="C72" s="21" t="s">
        <v>295</v>
      </c>
      <c r="D72" s="191" t="s">
        <v>21</v>
      </c>
      <c r="F72" s="150"/>
    </row>
    <row r="73" spans="1:38" ht="15.75" customHeight="1" x14ac:dyDescent="0.55000000000000004"/>
    <row r="74" spans="1:38" ht="15.75" customHeight="1" thickBot="1" x14ac:dyDescent="0.6">
      <c r="A74" s="210" t="s">
        <v>35</v>
      </c>
      <c r="B74" s="225"/>
      <c r="C74" s="202"/>
      <c r="D74" s="203"/>
      <c r="E74" s="202"/>
      <c r="F74" s="202"/>
      <c r="G74" s="202"/>
      <c r="H74" s="202"/>
      <c r="I74" s="217" t="s">
        <v>35</v>
      </c>
      <c r="J74" s="225"/>
      <c r="K74" s="202"/>
      <c r="L74" s="202"/>
      <c r="M74" s="202"/>
      <c r="N74" s="203"/>
      <c r="O74" s="202"/>
      <c r="P74" s="202"/>
      <c r="Q74" s="202"/>
      <c r="R74" s="202"/>
      <c r="S74" s="202"/>
      <c r="T74" s="203"/>
      <c r="U74" s="202"/>
    </row>
    <row r="75" spans="1:38" ht="15.75" customHeight="1" x14ac:dyDescent="0.55000000000000004"/>
    <row r="76" spans="1:38" ht="15.75" customHeight="1" x14ac:dyDescent="0.55000000000000004">
      <c r="B76" s="223" t="s">
        <v>199</v>
      </c>
      <c r="C76" s="422"/>
      <c r="D76" s="25"/>
      <c r="E76" s="25" t="s">
        <v>18</v>
      </c>
      <c r="F76" s="25" t="s">
        <v>200</v>
      </c>
      <c r="I76" s="214"/>
      <c r="J76" s="223" t="s">
        <v>199</v>
      </c>
      <c r="O76" s="21" t="s">
        <v>55</v>
      </c>
      <c r="P76" s="21" t="s">
        <v>98</v>
      </c>
      <c r="V76" s="295"/>
    </row>
    <row r="77" spans="1:38" ht="15.75" customHeight="1" x14ac:dyDescent="0.45">
      <c r="C77" s="21" t="s">
        <v>296</v>
      </c>
      <c r="D77" s="191" t="s">
        <v>21</v>
      </c>
      <c r="E77" s="143">
        <f>O79</f>
        <v>0</v>
      </c>
      <c r="F77" s="143">
        <f>P79</f>
        <v>0</v>
      </c>
      <c r="K77" s="21" t="s">
        <v>202</v>
      </c>
      <c r="N77" s="191" t="s">
        <v>21</v>
      </c>
      <c r="O77" s="178">
        <f>O32</f>
        <v>0</v>
      </c>
      <c r="P77" s="178">
        <f>P32</f>
        <v>0</v>
      </c>
      <c r="V77" s="295"/>
    </row>
    <row r="78" spans="1:38" ht="15.75" customHeight="1" x14ac:dyDescent="0.45">
      <c r="C78" s="21" t="s">
        <v>297</v>
      </c>
      <c r="D78" s="191" t="s">
        <v>25</v>
      </c>
      <c r="F78" s="418"/>
      <c r="K78" s="21" t="s">
        <v>110</v>
      </c>
      <c r="N78" s="191" t="s">
        <v>21</v>
      </c>
      <c r="O78" s="168">
        <f>O77*$F$78</f>
        <v>0</v>
      </c>
      <c r="P78" s="168">
        <f>P77*$F$78</f>
        <v>0</v>
      </c>
      <c r="V78" s="295"/>
    </row>
    <row r="79" spans="1:38" ht="15.75" customHeight="1" x14ac:dyDescent="0.45">
      <c r="C79" s="21" t="s">
        <v>298</v>
      </c>
      <c r="D79" s="191" t="s">
        <v>25</v>
      </c>
      <c r="F79" s="418"/>
      <c r="K79" s="21" t="s">
        <v>205</v>
      </c>
      <c r="N79" s="191" t="s">
        <v>21</v>
      </c>
      <c r="O79" s="168">
        <f>(O77-O78)*$F$80</f>
        <v>0</v>
      </c>
      <c r="P79" s="168">
        <f t="shared" ref="P79" si="53">(P77-P78)*$F$80</f>
        <v>0</v>
      </c>
      <c r="V79" s="295"/>
    </row>
    <row r="80" spans="1:38" ht="20.25" customHeight="1" x14ac:dyDescent="0.45">
      <c r="C80" s="21" t="s">
        <v>299</v>
      </c>
      <c r="D80" s="191" t="s">
        <v>25</v>
      </c>
      <c r="F80" s="418"/>
      <c r="K80" s="21" t="s">
        <v>207</v>
      </c>
      <c r="N80" s="191" t="s">
        <v>21</v>
      </c>
      <c r="O80" s="168">
        <f>O79*$F$79</f>
        <v>0</v>
      </c>
      <c r="P80" s="168">
        <f>P79*$F$79</f>
        <v>0</v>
      </c>
      <c r="V80" s="295"/>
    </row>
    <row r="81" spans="1:94" ht="15.75" customHeight="1" x14ac:dyDescent="0.45">
      <c r="C81" s="21" t="s">
        <v>300</v>
      </c>
      <c r="D81" s="191" t="s">
        <v>14</v>
      </c>
      <c r="F81" s="418"/>
      <c r="K81" s="252" t="s">
        <v>209</v>
      </c>
      <c r="L81" s="250"/>
      <c r="M81" s="250"/>
      <c r="N81" s="191" t="s">
        <v>21</v>
      </c>
      <c r="O81" s="168">
        <f>O77-SUM(O78:O80)</f>
        <v>0</v>
      </c>
      <c r="P81" s="168">
        <f>P77-SUM(P78:P80)</f>
        <v>0</v>
      </c>
      <c r="V81" s="295"/>
    </row>
    <row r="82" spans="1:94" ht="15.75" customHeight="1" x14ac:dyDescent="0.45">
      <c r="C82" s="21" t="s">
        <v>210</v>
      </c>
      <c r="D82" s="191" t="s">
        <v>211</v>
      </c>
      <c r="F82" s="418"/>
      <c r="K82" s="21" t="s">
        <v>212</v>
      </c>
      <c r="N82" s="191" t="s">
        <v>21</v>
      </c>
      <c r="O82" s="168">
        <f>IFERROR(O79/$F$81, 0)</f>
        <v>0</v>
      </c>
      <c r="P82" s="168">
        <f>IFERROR(P79/$F$81, 0)</f>
        <v>0</v>
      </c>
      <c r="T82" s="21"/>
      <c r="V82" s="22"/>
      <c r="Y82" s="21"/>
      <c r="Z82" s="21"/>
      <c r="AA82" s="22"/>
      <c r="AB82" s="22"/>
      <c r="AC82" s="22"/>
      <c r="AD82" s="22"/>
      <c r="AE82" s="22"/>
      <c r="AF82" s="22"/>
      <c r="AG82" s="22"/>
      <c r="AH82" s="22"/>
      <c r="AI82" s="22"/>
      <c r="AJ82" s="22"/>
      <c r="AK82" s="26"/>
      <c r="AL82" s="26"/>
      <c r="AM82" s="26"/>
      <c r="AO82" s="26"/>
      <c r="AP82" s="22"/>
      <c r="AQ82" s="22"/>
      <c r="AR82" s="22"/>
      <c r="AS82" s="22"/>
      <c r="AT82" s="22"/>
      <c r="AU82" s="22"/>
      <c r="AV82" s="22"/>
      <c r="AW82" s="22"/>
      <c r="AX82" s="22"/>
      <c r="AY82" s="22"/>
      <c r="AZ82" s="22"/>
      <c r="BA82" s="22"/>
      <c r="BB82" s="22"/>
      <c r="BC82" s="22"/>
      <c r="BD82" s="22"/>
      <c r="BH82" s="22"/>
      <c r="BI82" s="22"/>
      <c r="BJ82" s="22"/>
      <c r="BK82" s="22"/>
      <c r="BL82" s="22"/>
      <c r="BM82" s="22"/>
      <c r="BN82" s="22"/>
      <c r="BO82" s="22"/>
      <c r="BP82" s="22"/>
      <c r="BQ82" s="22"/>
      <c r="BR82" s="22"/>
      <c r="BS82" s="22"/>
      <c r="BT82" s="22"/>
      <c r="BU82" s="22"/>
      <c r="BV82" s="22"/>
      <c r="BY82" s="21"/>
      <c r="BZ82" s="21"/>
    </row>
    <row r="83" spans="1:94" ht="15.75" customHeight="1" x14ac:dyDescent="0.45">
      <c r="C83" s="21" t="s">
        <v>301</v>
      </c>
      <c r="D83" s="191" t="s">
        <v>25</v>
      </c>
      <c r="K83" s="21" t="s">
        <v>214</v>
      </c>
      <c r="N83" s="191" t="s">
        <v>215</v>
      </c>
      <c r="O83" s="168">
        <f>$F82+$F$18</f>
        <v>0</v>
      </c>
      <c r="P83" s="168">
        <f>$F82+$F$18</f>
        <v>0</v>
      </c>
      <c r="V83" s="295"/>
    </row>
    <row r="84" spans="1:94" ht="15.75" customHeight="1" x14ac:dyDescent="0.55000000000000004">
      <c r="V84" s="295"/>
    </row>
    <row r="85" spans="1:94" ht="15.75" customHeight="1" x14ac:dyDescent="0.55000000000000004">
      <c r="V85" s="295"/>
    </row>
    <row r="86" spans="1:94" ht="15.75" customHeight="1" x14ac:dyDescent="0.55000000000000004">
      <c r="B86" s="223" t="s">
        <v>302</v>
      </c>
      <c r="C86" s="422"/>
      <c r="D86" s="25"/>
      <c r="F86" s="25" t="s">
        <v>200</v>
      </c>
      <c r="I86" s="214"/>
      <c r="J86" s="223" t="s">
        <v>302</v>
      </c>
      <c r="P86" s="21" t="s">
        <v>98</v>
      </c>
      <c r="V86" s="295"/>
    </row>
    <row r="87" spans="1:94" ht="15.75" customHeight="1" x14ac:dyDescent="0.55000000000000004">
      <c r="C87" s="21" t="s">
        <v>201</v>
      </c>
      <c r="D87" s="191" t="s">
        <v>21</v>
      </c>
      <c r="F87" s="143">
        <f>P34</f>
        <v>0</v>
      </c>
      <c r="K87" s="21" t="s">
        <v>217</v>
      </c>
      <c r="N87" s="191" t="s">
        <v>25</v>
      </c>
      <c r="O87" s="22"/>
      <c r="P87" s="136">
        <f>SUM(F88:F89)</f>
        <v>0</v>
      </c>
    </row>
    <row r="88" spans="1:94" ht="15.75" customHeight="1" x14ac:dyDescent="0.45">
      <c r="C88" s="21" t="s">
        <v>164</v>
      </c>
      <c r="D88" s="191" t="s">
        <v>25</v>
      </c>
      <c r="F88" s="418"/>
      <c r="H88" s="504" t="s">
        <v>323</v>
      </c>
      <c r="I88" s="21"/>
    </row>
    <row r="89" spans="1:94" ht="15.75" customHeight="1" x14ac:dyDescent="0.45">
      <c r="C89" s="21" t="s">
        <v>218</v>
      </c>
      <c r="D89" s="191" t="s">
        <v>25</v>
      </c>
      <c r="F89" s="418"/>
      <c r="H89" s="504" t="s">
        <v>323</v>
      </c>
      <c r="I89" s="21"/>
    </row>
    <row r="90" spans="1:94" ht="15.75" customHeight="1" x14ac:dyDescent="0.55000000000000004">
      <c r="H90" s="505"/>
      <c r="I90" s="21"/>
      <c r="V90" s="295"/>
    </row>
    <row r="91" spans="1:94" ht="15.75" customHeight="1" thickBot="1" x14ac:dyDescent="0.6">
      <c r="A91" s="210" t="s">
        <v>43</v>
      </c>
      <c r="B91" s="225"/>
      <c r="C91" s="202"/>
      <c r="D91" s="203"/>
      <c r="E91" s="202"/>
      <c r="F91" s="202"/>
      <c r="G91" s="202"/>
      <c r="H91" s="202"/>
      <c r="I91" s="217" t="s">
        <v>43</v>
      </c>
      <c r="J91" s="225"/>
      <c r="K91" s="202"/>
      <c r="L91" s="202"/>
      <c r="M91" s="202"/>
      <c r="N91" s="203"/>
      <c r="O91" s="202"/>
      <c r="P91" s="202"/>
      <c r="Q91" s="202"/>
      <c r="R91" s="202"/>
      <c r="S91" s="202"/>
      <c r="T91" s="202"/>
      <c r="U91" s="202"/>
      <c r="AK91" s="24"/>
      <c r="AL91" s="24"/>
      <c r="AN91" s="25"/>
      <c r="AO91" s="26"/>
      <c r="AP91" s="25"/>
      <c r="BE91" s="24"/>
      <c r="BF91" s="24"/>
      <c r="BH91" s="26"/>
      <c r="BI91" s="22"/>
      <c r="BW91" s="24"/>
      <c r="BX91" s="24"/>
      <c r="BY91" s="24"/>
      <c r="BZ91" s="24"/>
      <c r="CA91" s="24"/>
      <c r="CB91" s="24"/>
      <c r="CC91" s="22"/>
      <c r="CD91" s="24"/>
      <c r="CE91" s="24"/>
      <c r="CF91" s="24"/>
      <c r="CG91" s="24"/>
      <c r="CH91" s="24"/>
      <c r="CI91" s="22"/>
      <c r="CJ91" s="24"/>
      <c r="CK91" s="24"/>
      <c r="CL91" s="22"/>
      <c r="CM91" s="22"/>
      <c r="CN91" s="22"/>
      <c r="CO91" s="22"/>
      <c r="CP91" s="22"/>
    </row>
    <row r="92" spans="1:94" ht="15.75" customHeight="1" x14ac:dyDescent="0.55000000000000004">
      <c r="V92" s="295"/>
    </row>
    <row r="93" spans="1:94" ht="15.75" customHeight="1" x14ac:dyDescent="0.55000000000000004">
      <c r="B93" s="223" t="s">
        <v>220</v>
      </c>
      <c r="C93" s="422"/>
      <c r="I93" s="214"/>
      <c r="J93" s="223" t="s">
        <v>220</v>
      </c>
      <c r="N93" s="21"/>
      <c r="T93" s="21"/>
      <c r="AK93" s="24"/>
      <c r="AL93" s="24"/>
      <c r="AN93" s="25"/>
      <c r="AO93" s="26"/>
      <c r="AP93" s="25"/>
      <c r="BE93" s="24"/>
      <c r="BF93" s="24"/>
      <c r="BH93" s="26"/>
      <c r="BI93" s="22"/>
      <c r="BW93" s="24"/>
      <c r="BX93" s="24"/>
      <c r="BY93" s="24"/>
      <c r="BZ93" s="24"/>
      <c r="CA93" s="24"/>
      <c r="CB93" s="24"/>
      <c r="CC93" s="22"/>
      <c r="CD93" s="24"/>
      <c r="CE93" s="24"/>
      <c r="CF93" s="24"/>
      <c r="CG93" s="24"/>
      <c r="CH93" s="24"/>
      <c r="CI93" s="22"/>
      <c r="CJ93" s="24"/>
      <c r="CK93" s="24"/>
      <c r="CL93" s="22"/>
      <c r="CM93" s="22"/>
      <c r="CN93" s="22"/>
      <c r="CO93" s="22"/>
      <c r="CP93" s="22"/>
    </row>
    <row r="94" spans="1:94" ht="15.75" customHeight="1" x14ac:dyDescent="0.45">
      <c r="C94" s="21" t="s">
        <v>221</v>
      </c>
      <c r="D94" s="191" t="s">
        <v>21</v>
      </c>
      <c r="F94" s="433"/>
      <c r="H94" s="120" t="s">
        <v>180</v>
      </c>
      <c r="J94" s="35"/>
      <c r="K94" s="21" t="s">
        <v>222</v>
      </c>
      <c r="N94" s="191" t="s">
        <v>21</v>
      </c>
      <c r="O94" s="122"/>
      <c r="P94" s="143">
        <f>F94</f>
        <v>0</v>
      </c>
      <c r="T94" s="21"/>
    </row>
    <row r="95" spans="1:94" ht="15.75" customHeight="1" x14ac:dyDescent="0.45">
      <c r="C95" s="21" t="s">
        <v>395</v>
      </c>
      <c r="D95" s="191" t="s">
        <v>25</v>
      </c>
      <c r="F95" s="414"/>
      <c r="H95" s="21" t="s">
        <v>223</v>
      </c>
      <c r="K95" s="21" t="s">
        <v>224</v>
      </c>
      <c r="N95" s="191" t="s">
        <v>25</v>
      </c>
      <c r="O95" s="122"/>
      <c r="P95" s="283">
        <f>F95</f>
        <v>0</v>
      </c>
      <c r="T95" s="21"/>
    </row>
    <row r="96" spans="1:94" ht="15.75" customHeight="1" x14ac:dyDescent="0.55000000000000004">
      <c r="C96" s="21" t="s">
        <v>225</v>
      </c>
      <c r="K96" s="241" t="s">
        <v>226</v>
      </c>
      <c r="L96" s="241"/>
      <c r="M96" s="241"/>
      <c r="N96" s="242" t="s">
        <v>21</v>
      </c>
      <c r="O96" s="281"/>
      <c r="P96" s="284">
        <f>P94*P95</f>
        <v>0</v>
      </c>
      <c r="T96" s="21"/>
    </row>
    <row r="97" spans="2:94" ht="15.75" customHeight="1" x14ac:dyDescent="0.45">
      <c r="C97" s="21" t="s">
        <v>226</v>
      </c>
      <c r="D97" s="191" t="s">
        <v>21</v>
      </c>
      <c r="F97" s="414"/>
      <c r="H97" s="21" t="s">
        <v>227</v>
      </c>
      <c r="O97" s="122"/>
      <c r="P97" s="92"/>
      <c r="T97" s="21"/>
    </row>
    <row r="98" spans="2:94" ht="15.75" customHeight="1" x14ac:dyDescent="0.55000000000000004">
      <c r="D98" s="21"/>
      <c r="K98" s="21" t="s">
        <v>225</v>
      </c>
      <c r="O98" s="122"/>
      <c r="P98" s="185">
        <f>F97</f>
        <v>0</v>
      </c>
      <c r="T98" s="21"/>
    </row>
    <row r="99" spans="2:94" ht="15.75" customHeight="1" x14ac:dyDescent="0.55000000000000004">
      <c r="O99" s="122"/>
      <c r="T99" s="21"/>
      <c r="W99" s="138"/>
    </row>
    <row r="100" spans="2:94" ht="15.75" customHeight="1" x14ac:dyDescent="0.55000000000000004">
      <c r="B100" s="223" t="s">
        <v>228</v>
      </c>
      <c r="C100" s="423"/>
      <c r="I100" s="214"/>
      <c r="J100" s="223" t="s">
        <v>228</v>
      </c>
      <c r="N100" s="21"/>
      <c r="P100" s="92"/>
      <c r="T100" s="21"/>
      <c r="AK100" s="24"/>
      <c r="AL100" s="24"/>
      <c r="AN100" s="25"/>
      <c r="AO100" s="26"/>
      <c r="AP100" s="25"/>
      <c r="BE100" s="24"/>
      <c r="BF100" s="24"/>
      <c r="BH100" s="26"/>
      <c r="BI100" s="22"/>
      <c r="BW100" s="24"/>
      <c r="BX100" s="24"/>
      <c r="BY100" s="24"/>
      <c r="BZ100" s="24"/>
      <c r="CA100" s="24"/>
      <c r="CB100" s="24"/>
      <c r="CC100" s="22"/>
      <c r="CD100" s="24"/>
      <c r="CE100" s="24"/>
      <c r="CF100" s="24"/>
      <c r="CG100" s="24"/>
      <c r="CH100" s="24"/>
      <c r="CI100" s="22"/>
      <c r="CJ100" s="24"/>
      <c r="CK100" s="24"/>
      <c r="CL100" s="22"/>
      <c r="CM100" s="22"/>
      <c r="CN100" s="22"/>
      <c r="CO100" s="22"/>
      <c r="CP100" s="22"/>
    </row>
    <row r="101" spans="2:94" ht="15.75" customHeight="1" x14ac:dyDescent="0.45">
      <c r="C101" s="21" t="s">
        <v>229</v>
      </c>
      <c r="K101" s="21" t="s">
        <v>229</v>
      </c>
      <c r="N101" s="191" t="s">
        <v>21</v>
      </c>
      <c r="O101" s="122"/>
      <c r="P101" s="168">
        <f>F102*F103</f>
        <v>0</v>
      </c>
      <c r="T101" s="21"/>
    </row>
    <row r="102" spans="2:94" ht="15.75" customHeight="1" x14ac:dyDescent="0.45">
      <c r="C102" s="21" t="s">
        <v>230</v>
      </c>
      <c r="D102" s="191" t="s">
        <v>21</v>
      </c>
      <c r="F102" s="414"/>
      <c r="H102" s="120" t="s">
        <v>180</v>
      </c>
      <c r="K102" s="21" t="s">
        <v>231</v>
      </c>
      <c r="N102" s="191" t="s">
        <v>21</v>
      </c>
      <c r="O102" s="122"/>
      <c r="P102" s="168">
        <f>F105*F106</f>
        <v>0</v>
      </c>
      <c r="T102" s="21"/>
    </row>
    <row r="103" spans="2:94" ht="15.75" customHeight="1" x14ac:dyDescent="0.45">
      <c r="C103" s="21" t="s">
        <v>224</v>
      </c>
      <c r="D103" s="191" t="s">
        <v>25</v>
      </c>
      <c r="F103" s="414"/>
      <c r="H103" s="21" t="s">
        <v>232</v>
      </c>
      <c r="K103" s="21" t="s">
        <v>233</v>
      </c>
      <c r="N103" s="191" t="s">
        <v>21</v>
      </c>
      <c r="O103" s="122"/>
      <c r="P103" s="168">
        <f>F108*F109</f>
        <v>0</v>
      </c>
      <c r="T103" s="21"/>
    </row>
    <row r="104" spans="2:94" ht="15.75" customHeight="1" x14ac:dyDescent="0.55000000000000004">
      <c r="C104" s="21" t="s">
        <v>234</v>
      </c>
      <c r="O104" s="122"/>
      <c r="P104" s="92"/>
      <c r="T104" s="21"/>
    </row>
    <row r="105" spans="2:94" ht="15.75" customHeight="1" x14ac:dyDescent="0.45">
      <c r="C105" s="21" t="s">
        <v>230</v>
      </c>
      <c r="D105" s="191" t="s">
        <v>21</v>
      </c>
      <c r="F105" s="414"/>
      <c r="H105" s="120" t="s">
        <v>180</v>
      </c>
      <c r="K105" s="21" t="s">
        <v>235</v>
      </c>
      <c r="N105" s="191" t="s">
        <v>21</v>
      </c>
      <c r="O105" s="122"/>
      <c r="P105" s="174">
        <f>P98</f>
        <v>0</v>
      </c>
      <c r="T105" s="21"/>
    </row>
    <row r="106" spans="2:94" ht="15.75" customHeight="1" x14ac:dyDescent="0.45">
      <c r="C106" s="21" t="s">
        <v>224</v>
      </c>
      <c r="D106" s="191" t="s">
        <v>25</v>
      </c>
      <c r="F106" s="414"/>
      <c r="H106" s="21" t="s">
        <v>232</v>
      </c>
      <c r="K106" s="21" t="s">
        <v>252</v>
      </c>
      <c r="N106" s="191" t="s">
        <v>25</v>
      </c>
      <c r="O106" s="122"/>
      <c r="P106" s="173">
        <f>SUM(P96,P98,P101,P103,P102)</f>
        <v>0</v>
      </c>
      <c r="T106" s="21"/>
    </row>
    <row r="107" spans="2:94" ht="15.75" customHeight="1" x14ac:dyDescent="0.45">
      <c r="C107" s="21" t="s">
        <v>233</v>
      </c>
      <c r="K107" s="21" t="s">
        <v>237</v>
      </c>
      <c r="N107" s="191" t="s">
        <v>21</v>
      </c>
      <c r="O107" s="122"/>
      <c r="P107" s="173">
        <f>SUM(P96,P98,P102)</f>
        <v>0</v>
      </c>
      <c r="T107" s="21"/>
    </row>
    <row r="108" spans="2:94" x14ac:dyDescent="0.45">
      <c r="C108" s="21" t="s">
        <v>230</v>
      </c>
      <c r="D108" s="191" t="s">
        <v>21</v>
      </c>
      <c r="F108" s="414"/>
      <c r="H108" s="120" t="s">
        <v>180</v>
      </c>
      <c r="O108" s="122"/>
      <c r="T108" s="21"/>
    </row>
    <row r="109" spans="2:94" ht="18" customHeight="1" x14ac:dyDescent="0.45">
      <c r="C109" s="21" t="s">
        <v>224</v>
      </c>
      <c r="D109" s="191" t="s">
        <v>25</v>
      </c>
      <c r="F109" s="414"/>
      <c r="H109" s="21" t="s">
        <v>232</v>
      </c>
      <c r="O109" s="122"/>
    </row>
    <row r="110" spans="2:94" x14ac:dyDescent="0.55000000000000004">
      <c r="O110" s="122"/>
    </row>
    <row r="111" spans="2:94" ht="15.75" customHeight="1" x14ac:dyDescent="0.55000000000000004">
      <c r="B111" s="223" t="s">
        <v>238</v>
      </c>
      <c r="C111" s="423"/>
      <c r="I111" s="214"/>
      <c r="J111" s="223" t="s">
        <v>238</v>
      </c>
      <c r="N111" s="21"/>
      <c r="P111" s="35" t="s">
        <v>239</v>
      </c>
      <c r="T111" s="21"/>
      <c r="AK111" s="24"/>
      <c r="AL111" s="24"/>
      <c r="AN111" s="25"/>
      <c r="AO111" s="26"/>
      <c r="AP111" s="25"/>
      <c r="BE111" s="24"/>
      <c r="BF111" s="24"/>
      <c r="BH111" s="26"/>
      <c r="BI111" s="22"/>
      <c r="BW111" s="24"/>
      <c r="BX111" s="24"/>
      <c r="BY111" s="24"/>
      <c r="BZ111" s="24"/>
      <c r="CA111" s="24"/>
      <c r="CB111" s="24"/>
      <c r="CC111" s="22"/>
      <c r="CD111" s="24"/>
      <c r="CE111" s="24"/>
      <c r="CF111" s="24"/>
      <c r="CG111" s="24"/>
      <c r="CH111" s="24"/>
      <c r="CI111" s="22"/>
      <c r="CJ111" s="24"/>
      <c r="CK111" s="24"/>
      <c r="CL111" s="22"/>
      <c r="CM111" s="22"/>
      <c r="CN111" s="22"/>
      <c r="CO111" s="22"/>
      <c r="CP111" s="22"/>
    </row>
    <row r="112" spans="2:94" x14ac:dyDescent="0.55000000000000004">
      <c r="C112" s="21" t="s">
        <v>239</v>
      </c>
      <c r="K112" s="21" t="s">
        <v>230</v>
      </c>
      <c r="N112" s="191" t="s">
        <v>21</v>
      </c>
      <c r="P112" s="143">
        <f>F113</f>
        <v>0</v>
      </c>
    </row>
    <row r="113" spans="3:20" x14ac:dyDescent="0.45">
      <c r="C113" s="21" t="s">
        <v>230</v>
      </c>
      <c r="D113" s="191" t="s">
        <v>21</v>
      </c>
      <c r="F113" s="433"/>
      <c r="H113" s="120" t="s">
        <v>180</v>
      </c>
      <c r="K113" s="21" t="s">
        <v>224</v>
      </c>
      <c r="N113" s="191" t="s">
        <v>25</v>
      </c>
      <c r="P113" s="283">
        <f>F114</f>
        <v>0</v>
      </c>
    </row>
    <row r="114" spans="3:20" x14ac:dyDescent="0.45">
      <c r="C114" s="21" t="s">
        <v>396</v>
      </c>
      <c r="D114" s="191" t="s">
        <v>25</v>
      </c>
      <c r="F114" s="433"/>
      <c r="H114" s="21" t="s">
        <v>240</v>
      </c>
      <c r="K114" s="241" t="s">
        <v>226</v>
      </c>
      <c r="L114" s="241"/>
      <c r="M114" s="241"/>
      <c r="N114" s="242" t="s">
        <v>21</v>
      </c>
      <c r="O114" s="335"/>
      <c r="P114" s="284">
        <f>P112*P113</f>
        <v>0</v>
      </c>
      <c r="T114" s="21"/>
    </row>
    <row r="115" spans="3:20" x14ac:dyDescent="0.55000000000000004">
      <c r="C115" s="21" t="s">
        <v>241</v>
      </c>
      <c r="N115" s="21"/>
      <c r="T115" s="21"/>
    </row>
    <row r="116" spans="3:20" x14ac:dyDescent="0.45">
      <c r="C116" s="21" t="s">
        <v>242</v>
      </c>
      <c r="D116" s="191" t="s">
        <v>21</v>
      </c>
      <c r="F116" s="433"/>
      <c r="H116" s="120" t="s">
        <v>180</v>
      </c>
      <c r="O116" s="191"/>
      <c r="P116" s="35" t="s">
        <v>243</v>
      </c>
      <c r="T116" s="21"/>
    </row>
    <row r="117" spans="3:20" x14ac:dyDescent="0.45">
      <c r="C117" s="21" t="s">
        <v>397</v>
      </c>
      <c r="D117" s="191" t="s">
        <v>25</v>
      </c>
      <c r="F117" s="433"/>
      <c r="H117" s="21" t="s">
        <v>240</v>
      </c>
      <c r="K117" s="21" t="s">
        <v>230</v>
      </c>
      <c r="N117" s="191" t="s">
        <v>21</v>
      </c>
      <c r="O117" s="191"/>
      <c r="P117" s="143">
        <f>F116</f>
        <v>0</v>
      </c>
      <c r="T117" s="21"/>
    </row>
    <row r="118" spans="3:20" x14ac:dyDescent="0.55000000000000004">
      <c r="C118" s="21" t="s">
        <v>244</v>
      </c>
      <c r="K118" s="21" t="s">
        <v>224</v>
      </c>
      <c r="N118" s="191" t="s">
        <v>25</v>
      </c>
      <c r="O118" s="191"/>
      <c r="P118" s="146">
        <f>F117</f>
        <v>0</v>
      </c>
    </row>
    <row r="119" spans="3:20" x14ac:dyDescent="0.45">
      <c r="C119" s="21" t="s">
        <v>242</v>
      </c>
      <c r="D119" s="191" t="s">
        <v>21</v>
      </c>
      <c r="F119" s="433"/>
      <c r="H119" s="120" t="s">
        <v>180</v>
      </c>
      <c r="K119" s="241" t="s">
        <v>226</v>
      </c>
      <c r="L119" s="241"/>
      <c r="M119" s="241"/>
      <c r="N119" s="242" t="s">
        <v>21</v>
      </c>
      <c r="O119" s="335"/>
      <c r="P119" s="284">
        <f>P117*P118</f>
        <v>0</v>
      </c>
    </row>
    <row r="120" spans="3:20" x14ac:dyDescent="0.45">
      <c r="C120" s="21" t="s">
        <v>397</v>
      </c>
      <c r="D120" s="191" t="s">
        <v>25</v>
      </c>
      <c r="F120" s="433"/>
      <c r="H120" s="21" t="s">
        <v>245</v>
      </c>
      <c r="N120" s="21"/>
    </row>
    <row r="121" spans="3:20" x14ac:dyDescent="0.55000000000000004">
      <c r="O121" s="191"/>
      <c r="P121" s="35" t="s">
        <v>246</v>
      </c>
    </row>
    <row r="122" spans="3:20" x14ac:dyDescent="0.45">
      <c r="C122" s="21" t="s">
        <v>309</v>
      </c>
      <c r="D122" s="191" t="s">
        <v>21</v>
      </c>
      <c r="F122" s="433"/>
      <c r="H122" s="120" t="s">
        <v>180</v>
      </c>
      <c r="K122" s="21" t="s">
        <v>230</v>
      </c>
      <c r="N122" s="191" t="s">
        <v>21</v>
      </c>
      <c r="O122" s="191"/>
      <c r="P122" s="143">
        <f>F119</f>
        <v>0</v>
      </c>
    </row>
    <row r="123" spans="3:20" x14ac:dyDescent="0.45">
      <c r="C123" s="21" t="s">
        <v>310</v>
      </c>
      <c r="D123" s="191" t="s">
        <v>21</v>
      </c>
      <c r="F123" s="433"/>
      <c r="H123" s="120" t="s">
        <v>180</v>
      </c>
      <c r="K123" s="21" t="s">
        <v>224</v>
      </c>
      <c r="N123" s="191" t="s">
        <v>25</v>
      </c>
      <c r="O123" s="191"/>
      <c r="P123" s="283">
        <f>F120</f>
        <v>0</v>
      </c>
    </row>
    <row r="124" spans="3:20" x14ac:dyDescent="0.55000000000000004">
      <c r="K124" s="241" t="s">
        <v>226</v>
      </c>
      <c r="L124" s="241"/>
      <c r="M124" s="241"/>
      <c r="N124" s="242" t="s">
        <v>21</v>
      </c>
      <c r="O124" s="335"/>
      <c r="P124" s="284">
        <f>P122*P123</f>
        <v>0</v>
      </c>
    </row>
    <row r="125" spans="3:20" x14ac:dyDescent="0.55000000000000004">
      <c r="O125" s="191"/>
    </row>
    <row r="126" spans="3:20" x14ac:dyDescent="0.55000000000000004">
      <c r="K126" s="21" t="s">
        <v>249</v>
      </c>
      <c r="N126" s="191" t="s">
        <v>21</v>
      </c>
      <c r="P126" s="139">
        <f>IF($F$14="都道府県",P101,0)</f>
        <v>0</v>
      </c>
    </row>
    <row r="127" spans="3:20" x14ac:dyDescent="0.55000000000000004">
      <c r="C127" s="425"/>
      <c r="D127" s="198"/>
      <c r="E127" s="26"/>
      <c r="K127" s="21" t="s">
        <v>250</v>
      </c>
      <c r="N127" s="191" t="s">
        <v>21</v>
      </c>
      <c r="P127" s="126">
        <f>IF($F$14="市町村",P102,0)</f>
        <v>0</v>
      </c>
    </row>
    <row r="128" spans="3:20" x14ac:dyDescent="0.55000000000000004">
      <c r="C128" s="425"/>
      <c r="D128" s="198"/>
      <c r="E128" s="26"/>
      <c r="F128" s="26"/>
      <c r="P128" s="334"/>
    </row>
    <row r="129" spans="1:105" x14ac:dyDescent="0.55000000000000004">
      <c r="C129" s="425"/>
      <c r="D129" s="198"/>
      <c r="E129" s="26"/>
      <c r="F129" s="26"/>
      <c r="K129" s="21" t="s">
        <v>235</v>
      </c>
      <c r="N129" s="191" t="s">
        <v>21</v>
      </c>
      <c r="P129" s="126">
        <f>IF($F$14=$O$14,0, IF($F$14=$P$14,SUM(P114,P119),SUM(P124)))</f>
        <v>0</v>
      </c>
    </row>
    <row r="130" spans="1:105" x14ac:dyDescent="0.55000000000000004">
      <c r="C130" s="425"/>
      <c r="D130" s="198"/>
      <c r="E130" s="26"/>
      <c r="F130" s="26"/>
      <c r="K130" s="21" t="s">
        <v>252</v>
      </c>
      <c r="N130" s="191" t="s">
        <v>21</v>
      </c>
      <c r="P130" s="126">
        <f>IF($F$14=$O$14, P103, IF($F$14=$P$14,SUM(P114,P119, P126),SUM(P124, P127)))</f>
        <v>0</v>
      </c>
    </row>
    <row r="131" spans="1:105" x14ac:dyDescent="0.55000000000000004">
      <c r="C131" s="425"/>
      <c r="D131" s="198"/>
      <c r="E131" s="26"/>
      <c r="F131" s="26"/>
      <c r="K131" s="21" t="s">
        <v>237</v>
      </c>
      <c r="N131" s="191" t="s">
        <v>21</v>
      </c>
      <c r="P131" s="126">
        <f>IF($F$14=$O$14, 0,IF($F$14=$P$14,SUM(P114,P119, P126),SUM(P127)))</f>
        <v>0</v>
      </c>
    </row>
    <row r="132" spans="1:105" x14ac:dyDescent="0.55000000000000004">
      <c r="C132" s="425"/>
      <c r="D132" s="198"/>
      <c r="E132" s="26"/>
      <c r="F132" s="26"/>
      <c r="O132" s="334"/>
    </row>
    <row r="133" spans="1:105" ht="15.75" customHeight="1" thickBot="1" x14ac:dyDescent="0.6">
      <c r="A133" s="210" t="s">
        <v>45</v>
      </c>
      <c r="B133" s="225"/>
      <c r="C133" s="202"/>
      <c r="D133" s="203"/>
      <c r="E133" s="202"/>
      <c r="F133" s="202"/>
      <c r="G133" s="202"/>
      <c r="H133" s="202"/>
      <c r="I133" s="217" t="s">
        <v>253</v>
      </c>
      <c r="J133" s="225"/>
      <c r="K133" s="202"/>
      <c r="L133" s="202"/>
      <c r="M133" s="202"/>
      <c r="N133" s="202"/>
      <c r="O133" s="202"/>
      <c r="P133" s="202"/>
      <c r="Q133" s="202"/>
      <c r="R133" s="202"/>
      <c r="S133" s="202"/>
      <c r="T133" s="202"/>
      <c r="U133" s="202"/>
      <c r="AK133" s="24"/>
      <c r="AL133" s="24"/>
      <c r="AM133" s="24"/>
      <c r="AN133" s="24"/>
      <c r="AO133" s="24"/>
      <c r="AT133" s="25"/>
      <c r="AU133" s="25"/>
      <c r="AV133" s="26"/>
      <c r="AW133" s="25"/>
      <c r="BE133" s="24"/>
      <c r="BF133" s="24"/>
      <c r="BG133" s="24"/>
      <c r="BS133" s="22"/>
      <c r="BT133" s="26"/>
      <c r="BU133" s="22"/>
      <c r="BW133" s="24"/>
      <c r="BX133" s="24"/>
      <c r="BY133" s="24"/>
      <c r="BZ133" s="24"/>
      <c r="CA133" s="24"/>
      <c r="CB133" s="24"/>
      <c r="CC133" s="24"/>
      <c r="CD133" s="24"/>
      <c r="CE133" s="24"/>
      <c r="CF133" s="24"/>
      <c r="CG133" s="24"/>
      <c r="CH133" s="24"/>
      <c r="CI133" s="24"/>
      <c r="CJ133" s="24"/>
      <c r="CK133" s="24"/>
      <c r="CL133" s="24"/>
      <c r="CM133" s="22"/>
      <c r="CN133" s="24"/>
      <c r="CO133" s="24"/>
      <c r="CP133" s="24"/>
      <c r="CQ133" s="24"/>
      <c r="CR133" s="24"/>
      <c r="CS133" s="22"/>
      <c r="CT133" s="24"/>
      <c r="CU133" s="24"/>
      <c r="CW133" s="22"/>
      <c r="CX133" s="22"/>
      <c r="CY133" s="22"/>
      <c r="CZ133" s="22"/>
      <c r="DA133" s="22"/>
    </row>
    <row r="134" spans="1:105" ht="15.75" customHeight="1" x14ac:dyDescent="0.55000000000000004">
      <c r="A134" s="207"/>
      <c r="B134" s="223"/>
      <c r="I134" s="214"/>
      <c r="J134" s="223"/>
      <c r="AK134" s="24"/>
      <c r="AL134" s="24"/>
      <c r="AM134" s="24"/>
      <c r="AN134" s="24"/>
      <c r="AO134" s="24"/>
      <c r="AT134" s="25"/>
      <c r="AU134" s="25"/>
      <c r="AV134" s="26"/>
      <c r="AW134" s="25"/>
      <c r="BE134" s="24"/>
      <c r="BF134" s="24"/>
      <c r="BG134" s="24"/>
      <c r="BS134" s="22"/>
      <c r="BT134" s="26"/>
      <c r="BU134" s="22"/>
      <c r="BW134" s="24"/>
      <c r="BX134" s="24"/>
      <c r="BY134" s="24"/>
      <c r="BZ134" s="24"/>
      <c r="CA134" s="24"/>
      <c r="CB134" s="24"/>
      <c r="CC134" s="24"/>
      <c r="CD134" s="24"/>
      <c r="CE134" s="24"/>
      <c r="CF134" s="24"/>
      <c r="CG134" s="24"/>
      <c r="CH134" s="24"/>
      <c r="CI134" s="24"/>
      <c r="CJ134" s="24"/>
      <c r="CK134" s="24"/>
      <c r="CL134" s="24"/>
      <c r="CM134" s="22"/>
      <c r="CN134" s="24"/>
      <c r="CO134" s="24"/>
      <c r="CP134" s="24"/>
      <c r="CQ134" s="24"/>
      <c r="CR134" s="24"/>
      <c r="CS134" s="22"/>
      <c r="CT134" s="24"/>
      <c r="CU134" s="24"/>
      <c r="CW134" s="22"/>
      <c r="CX134" s="22"/>
      <c r="CY134" s="22"/>
      <c r="CZ134" s="22"/>
      <c r="DA134" s="22"/>
    </row>
    <row r="135" spans="1:105" ht="15.75" customHeight="1" x14ac:dyDescent="0.55000000000000004">
      <c r="B135" s="223" t="s">
        <v>254</v>
      </c>
      <c r="C135" s="422"/>
      <c r="D135" s="198"/>
      <c r="E135" s="26"/>
      <c r="I135" s="214"/>
      <c r="J135" s="223" t="s">
        <v>254</v>
      </c>
      <c r="N135" s="21"/>
      <c r="O135" s="21" t="s">
        <v>18</v>
      </c>
      <c r="P135" s="21" t="s">
        <v>200</v>
      </c>
      <c r="AK135" s="24"/>
      <c r="AL135" s="24"/>
      <c r="AM135" s="24"/>
      <c r="AN135" s="24"/>
      <c r="AO135" s="24"/>
      <c r="AT135" s="25"/>
      <c r="AU135" s="25"/>
      <c r="AV135" s="26"/>
      <c r="AW135" s="25"/>
      <c r="BE135" s="24"/>
      <c r="BF135" s="24"/>
      <c r="BG135" s="24"/>
      <c r="BS135" s="22"/>
      <c r="BT135" s="26"/>
      <c r="BU135" s="22"/>
      <c r="BW135" s="24"/>
      <c r="BX135" s="24"/>
      <c r="BY135" s="24"/>
      <c r="BZ135" s="24"/>
      <c r="CA135" s="24"/>
      <c r="CB135" s="24"/>
      <c r="CC135" s="24"/>
      <c r="CD135" s="24"/>
      <c r="CE135" s="24"/>
      <c r="CF135" s="24"/>
      <c r="CG135" s="24"/>
      <c r="CH135" s="24"/>
      <c r="CI135" s="24"/>
      <c r="CJ135" s="24"/>
      <c r="CK135" s="24"/>
      <c r="CL135" s="24"/>
      <c r="CM135" s="22"/>
      <c r="CN135" s="24"/>
      <c r="CO135" s="24"/>
      <c r="CP135" s="24"/>
      <c r="CQ135" s="24"/>
      <c r="CR135" s="24"/>
      <c r="CS135" s="22"/>
      <c r="CT135" s="24"/>
      <c r="CU135" s="24"/>
      <c r="CW135" s="22"/>
      <c r="CX135" s="22"/>
      <c r="CY135" s="22"/>
      <c r="CZ135" s="22"/>
      <c r="DA135" s="22"/>
    </row>
    <row r="136" spans="1:105" x14ac:dyDescent="0.45">
      <c r="C136" s="21" t="s">
        <v>181</v>
      </c>
      <c r="D136" s="191" t="s">
        <v>21</v>
      </c>
      <c r="F136" s="413"/>
      <c r="H136" s="120" t="s">
        <v>180</v>
      </c>
      <c r="K136" s="21" t="s">
        <v>181</v>
      </c>
      <c r="N136" s="191" t="s">
        <v>21</v>
      </c>
      <c r="O136" s="174">
        <f>F136</f>
        <v>0</v>
      </c>
      <c r="P136" s="169"/>
    </row>
    <row r="137" spans="1:105" x14ac:dyDescent="0.45">
      <c r="C137" s="21" t="s">
        <v>256</v>
      </c>
      <c r="D137" s="191" t="s">
        <v>21</v>
      </c>
      <c r="F137" s="413"/>
      <c r="H137" s="120" t="s">
        <v>180</v>
      </c>
      <c r="K137" s="21" t="s">
        <v>134</v>
      </c>
      <c r="N137" s="191" t="s">
        <v>21</v>
      </c>
      <c r="O137" s="175">
        <f>F137*O18</f>
        <v>0</v>
      </c>
      <c r="P137" s="169"/>
    </row>
    <row r="138" spans="1:105" x14ac:dyDescent="0.45">
      <c r="C138" s="21" t="s">
        <v>258</v>
      </c>
      <c r="D138" s="191" t="s">
        <v>21</v>
      </c>
      <c r="F138" s="413"/>
      <c r="H138" s="120" t="s">
        <v>180</v>
      </c>
      <c r="K138" s="21" t="s">
        <v>258</v>
      </c>
      <c r="N138" s="191" t="s">
        <v>21</v>
      </c>
      <c r="O138" s="174">
        <f>F138</f>
        <v>0</v>
      </c>
      <c r="P138" s="169"/>
    </row>
    <row r="139" spans="1:105" x14ac:dyDescent="0.45">
      <c r="K139" s="21" t="s">
        <v>311</v>
      </c>
      <c r="M139" s="21" t="s">
        <v>261</v>
      </c>
      <c r="N139" s="191" t="s">
        <v>25</v>
      </c>
      <c r="O139" s="144">
        <f>F88</f>
        <v>0</v>
      </c>
      <c r="P139" s="169"/>
    </row>
    <row r="140" spans="1:105" x14ac:dyDescent="0.45">
      <c r="M140" s="21" t="s">
        <v>262</v>
      </c>
      <c r="N140" s="191" t="s">
        <v>25</v>
      </c>
      <c r="O140" s="145">
        <f>P87</f>
        <v>0</v>
      </c>
      <c r="P140" s="169"/>
    </row>
    <row r="141" spans="1:105" x14ac:dyDescent="0.45">
      <c r="M141" s="21" t="s">
        <v>263</v>
      </c>
      <c r="N141" s="191" t="s">
        <v>25</v>
      </c>
      <c r="O141" s="140">
        <f>O140-O139</f>
        <v>0</v>
      </c>
      <c r="P141" s="169"/>
    </row>
    <row r="142" spans="1:105" x14ac:dyDescent="0.45">
      <c r="M142" s="141" t="s">
        <v>264</v>
      </c>
      <c r="N142" s="191" t="s">
        <v>21</v>
      </c>
      <c r="O142" s="176">
        <f>SUM(AK18:AK47)</f>
        <v>0</v>
      </c>
      <c r="P142" s="169"/>
    </row>
    <row r="143" spans="1:105" x14ac:dyDescent="0.55000000000000004"/>
    <row r="144" spans="1:105" s="142" customFormat="1" ht="15" customHeight="1" thickBot="1" x14ac:dyDescent="0.6">
      <c r="B144" s="142" t="s">
        <v>265</v>
      </c>
      <c r="C144" s="424"/>
      <c r="D144" s="190"/>
      <c r="E144" s="167"/>
      <c r="F144" s="167"/>
      <c r="I144" s="333"/>
      <c r="J144" s="188"/>
      <c r="N144" s="190"/>
      <c r="O144" s="167"/>
      <c r="P144" s="167"/>
      <c r="T144" s="190"/>
      <c r="V144" s="296"/>
    </row>
    <row r="145" ht="17" thickTop="1" x14ac:dyDescent="0.55000000000000004"/>
    <row r="146" x14ac:dyDescent="0.55000000000000004"/>
    <row r="147" x14ac:dyDescent="0.55000000000000004"/>
    <row r="148" x14ac:dyDescent="0.55000000000000004"/>
    <row r="149" x14ac:dyDescent="0.55000000000000004"/>
    <row r="150" x14ac:dyDescent="0.55000000000000004"/>
    <row r="151" x14ac:dyDescent="0.55000000000000004"/>
    <row r="152" x14ac:dyDescent="0.55000000000000004"/>
    <row r="153" x14ac:dyDescent="0.55000000000000004"/>
    <row r="154" x14ac:dyDescent="0.55000000000000004"/>
    <row r="155" x14ac:dyDescent="0.55000000000000004"/>
    <row r="156" x14ac:dyDescent="0.55000000000000004"/>
    <row r="157" x14ac:dyDescent="0.55000000000000004"/>
    <row r="158" x14ac:dyDescent="0.55000000000000004"/>
    <row r="159" x14ac:dyDescent="0.55000000000000004"/>
    <row r="160" x14ac:dyDescent="0.55000000000000004"/>
    <row r="161" x14ac:dyDescent="0.55000000000000004"/>
    <row r="162" x14ac:dyDescent="0.55000000000000004"/>
    <row r="163" x14ac:dyDescent="0.55000000000000004"/>
    <row r="164" x14ac:dyDescent="0.55000000000000004"/>
    <row r="165" x14ac:dyDescent="0.55000000000000004"/>
    <row r="166" x14ac:dyDescent="0.55000000000000004"/>
    <row r="167" x14ac:dyDescent="0.55000000000000004"/>
    <row r="168" x14ac:dyDescent="0.55000000000000004"/>
    <row r="169" x14ac:dyDescent="0.55000000000000004"/>
    <row r="170" x14ac:dyDescent="0.55000000000000004"/>
    <row r="171" x14ac:dyDescent="0.55000000000000004"/>
    <row r="172" x14ac:dyDescent="0.55000000000000004"/>
    <row r="173" x14ac:dyDescent="0.55000000000000004"/>
    <row r="174" x14ac:dyDescent="0.55000000000000004"/>
    <row r="175" x14ac:dyDescent="0.55000000000000004"/>
    <row r="176" x14ac:dyDescent="0.55000000000000004"/>
    <row r="177" x14ac:dyDescent="0.55000000000000004"/>
    <row r="178" x14ac:dyDescent="0.55000000000000004"/>
    <row r="179" x14ac:dyDescent="0.55000000000000004"/>
  </sheetData>
  <sheetProtection algorithmName="SHA-512" hashValue="TwNiZ6XFG+7jGgt1kMjqmC1DdrhCTO3sYVtIGcUc2+ah2Rt0knRBLiSFWyqN0BmAC5458ulKbIl4rp8K/eFh7A==" saltValue="Yq0iREjbsZzmNwGFu+VX7A==" spinCount="100000" sheet="1" formatCells="0" formatRows="0" insertColumns="0" insertRows="0" insertHyperlinks="0" deleteColumns="0" deleteRows="0" sort="0" autoFilter="0" pivotTables="0"/>
  <phoneticPr fontId="2"/>
  <dataValidations count="1">
    <dataValidation type="list" allowBlank="1" showInputMessage="1" showErrorMessage="1" sqref="F14" xr:uid="{ECC59D5D-5212-499A-9B20-FD0923011421}">
      <formula1>$O$14:$R$14</formula1>
    </dataValidation>
  </dataValidations>
  <pageMargins left="0.23622047244094491" right="0.23622047244094491" top="0.74803149606299213" bottom="0.74803149606299213" header="0.31496062992125984" footer="0.31496062992125984"/>
  <pageSetup paperSize="8" scale="22" fitToHeight="0" orientation="landscape" r:id="rId1"/>
  <colBreaks count="2" manualBreakCount="2">
    <brk id="21" max="143" man="1"/>
    <brk id="58" max="14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D9EC4-DFB2-4DD8-8078-0CA70F23E145}">
  <sheetPr>
    <tabColor theme="7"/>
    <pageSetUpPr fitToPage="1"/>
  </sheetPr>
  <dimension ref="A1:DA219"/>
  <sheetViews>
    <sheetView showGridLines="0" tabSelected="1" view="pageBreakPreview" zoomScaleNormal="55" zoomScaleSheetLayoutView="100" workbookViewId="0"/>
  </sheetViews>
  <sheetFormatPr defaultColWidth="9" defaultRowHeight="21" zeroHeight="1" outlineLevelCol="1" x14ac:dyDescent="0.55000000000000004"/>
  <cols>
    <col min="1" max="1" width="4.83203125" style="207" customWidth="1"/>
    <col min="2" max="2" width="4.25" style="223" customWidth="1"/>
    <col min="3" max="3" width="40.08203125" style="21" bestFit="1" customWidth="1"/>
    <col min="4" max="4" width="7.33203125" style="191" customWidth="1"/>
    <col min="5" max="6" width="15.08203125" style="21" customWidth="1"/>
    <col min="7" max="7" width="3.58203125" style="21" customWidth="1"/>
    <col min="8" max="8" width="35.08203125" style="21" customWidth="1"/>
    <col min="9" max="9" width="4.25" style="214" customWidth="1"/>
    <col min="10" max="10" width="4.25" style="223" customWidth="1" outlineLevel="1"/>
    <col min="11" max="11" width="12.5" style="21" customWidth="1" outlineLevel="1"/>
    <col min="12" max="12" width="1.83203125" style="21" customWidth="1" outlineLevel="1"/>
    <col min="13" max="13" width="30.83203125" style="21" customWidth="1" outlineLevel="1"/>
    <col min="14" max="14" width="11.25" style="191" customWidth="1" outlineLevel="1"/>
    <col min="15" max="16" width="15.08203125" style="21" customWidth="1" outlineLevel="1"/>
    <col min="17" max="17" width="6.75" style="21" customWidth="1" outlineLevel="1"/>
    <col min="18" max="18" width="10" style="21" customWidth="1" outlineLevel="1"/>
    <col min="19" max="19" width="19.25" style="21" customWidth="1" outlineLevel="1"/>
    <col min="20" max="20" width="7.5" style="191" customWidth="1" outlineLevel="1"/>
    <col min="21" max="21" width="24.5" style="21" customWidth="1" outlineLevel="1"/>
    <col min="22" max="22" width="12" style="289" customWidth="1"/>
    <col min="23" max="23" width="9.58203125" style="21" customWidth="1"/>
    <col min="24" max="24" width="21.5" style="21" customWidth="1"/>
    <col min="25" max="26" width="10.83203125" style="23" customWidth="1"/>
    <col min="27" max="34" width="10.83203125" style="24" customWidth="1"/>
    <col min="35" max="35" width="11" style="24" customWidth="1"/>
    <col min="36" max="38" width="10.83203125" style="24" customWidth="1"/>
    <col min="39" max="40" width="10.83203125" style="25" customWidth="1"/>
    <col min="41" max="41" width="2.58203125" style="26" customWidth="1"/>
    <col min="42" max="42" width="10.83203125" style="25" customWidth="1"/>
    <col min="43" max="57" width="10.83203125" style="24" customWidth="1"/>
    <col min="58" max="58" width="2.58203125" style="22" customWidth="1"/>
    <col min="59" max="59" width="10.83203125" style="26" customWidth="1"/>
    <col min="60" max="60" width="2.5" style="22" customWidth="1"/>
    <col min="61" max="79" width="10.83203125" style="24" customWidth="1"/>
    <col min="80" max="80" width="2.58203125" style="22" customWidth="1"/>
    <col min="81" max="85" width="10.83203125" style="24" hidden="1" customWidth="1"/>
    <col min="86" max="86" width="2.58203125" style="22" hidden="1" customWidth="1"/>
    <col min="87" max="88" width="10.83203125" style="24" hidden="1" customWidth="1"/>
    <col min="89" max="93" width="10.83203125" style="22" hidden="1" customWidth="1"/>
    <col min="94" max="95" width="9" style="21" hidden="1" customWidth="1"/>
    <col min="96" max="112" width="9" style="21" customWidth="1"/>
    <col min="113" max="16384" width="9" style="21"/>
  </cols>
  <sheetData>
    <row r="1" spans="1:105" ht="15.75" customHeight="1" x14ac:dyDescent="0.55000000000000004"/>
    <row r="2" spans="1:105" ht="26" x14ac:dyDescent="0.55000000000000004">
      <c r="C2" s="310" t="s">
        <v>325</v>
      </c>
      <c r="W2" s="310" t="s">
        <v>326</v>
      </c>
    </row>
    <row r="3" spans="1:105" ht="18" customHeight="1" x14ac:dyDescent="0.55000000000000004">
      <c r="C3" s="316" t="s">
        <v>78</v>
      </c>
      <c r="W3" s="310"/>
      <c r="AM3" s="24"/>
      <c r="AN3" s="24"/>
      <c r="AO3" s="24"/>
      <c r="AP3" s="24"/>
      <c r="AS3" s="25"/>
      <c r="AT3" s="26"/>
      <c r="AU3" s="25"/>
      <c r="BF3" s="24"/>
      <c r="BG3" s="24"/>
      <c r="BH3" s="24"/>
      <c r="BR3" s="22"/>
      <c r="BS3" s="22"/>
      <c r="CB3" s="24"/>
      <c r="CH3" s="24"/>
      <c r="CK3" s="24"/>
      <c r="CL3" s="24"/>
      <c r="CM3" s="24"/>
      <c r="CO3" s="24"/>
      <c r="CP3" s="24"/>
      <c r="CQ3" s="24"/>
      <c r="CR3" s="24"/>
      <c r="CS3" s="24"/>
      <c r="CT3" s="22"/>
      <c r="CU3" s="24"/>
      <c r="CV3" s="24"/>
      <c r="CW3" s="22"/>
      <c r="CX3" s="22"/>
      <c r="CY3" s="22"/>
      <c r="CZ3" s="22"/>
      <c r="DA3" s="22"/>
    </row>
    <row r="4" spans="1:105" ht="18" customHeight="1" x14ac:dyDescent="0.5">
      <c r="C4" s="317" t="s">
        <v>79</v>
      </c>
      <c r="W4" s="310"/>
      <c r="AM4" s="24"/>
      <c r="AN4" s="24"/>
      <c r="AO4" s="24"/>
      <c r="AP4" s="24"/>
      <c r="AS4" s="25"/>
      <c r="AT4" s="26"/>
      <c r="AU4" s="25"/>
      <c r="BF4" s="24"/>
      <c r="BG4" s="24"/>
      <c r="BH4" s="24"/>
      <c r="BR4" s="22"/>
      <c r="BS4" s="22"/>
      <c r="CB4" s="24"/>
      <c r="CH4" s="24"/>
      <c r="CK4" s="24"/>
      <c r="CL4" s="24"/>
      <c r="CM4" s="24"/>
      <c r="CO4" s="24"/>
      <c r="CP4" s="24"/>
      <c r="CQ4" s="24"/>
      <c r="CR4" s="24"/>
      <c r="CS4" s="24"/>
      <c r="CT4" s="22"/>
      <c r="CU4" s="24"/>
      <c r="CV4" s="24"/>
      <c r="CW4" s="22"/>
      <c r="CX4" s="22"/>
      <c r="CY4" s="22"/>
      <c r="CZ4" s="22"/>
      <c r="DA4" s="22"/>
    </row>
    <row r="5" spans="1:105" ht="18" customHeight="1" x14ac:dyDescent="0.5">
      <c r="C5" s="318" t="s">
        <v>80</v>
      </c>
      <c r="W5" s="310"/>
      <c r="AM5" s="24"/>
      <c r="AN5" s="24"/>
      <c r="AO5" s="24"/>
      <c r="AP5" s="24"/>
      <c r="AS5" s="25"/>
      <c r="AT5" s="26"/>
      <c r="AU5" s="25"/>
      <c r="BF5" s="24"/>
      <c r="BG5" s="24"/>
      <c r="BH5" s="24"/>
      <c r="BR5" s="22"/>
      <c r="BS5" s="22"/>
      <c r="CB5" s="24"/>
      <c r="CH5" s="24"/>
      <c r="CK5" s="24"/>
      <c r="CL5" s="24"/>
      <c r="CM5" s="24"/>
      <c r="CO5" s="24"/>
      <c r="CP5" s="24"/>
      <c r="CQ5" s="24"/>
      <c r="CR5" s="24"/>
      <c r="CS5" s="24"/>
      <c r="CT5" s="22"/>
      <c r="CU5" s="24"/>
      <c r="CV5" s="24"/>
      <c r="CW5" s="22"/>
      <c r="CX5" s="22"/>
      <c r="CY5" s="22"/>
      <c r="CZ5" s="22"/>
      <c r="DA5" s="22"/>
    </row>
    <row r="6" spans="1:105" ht="18" customHeight="1" x14ac:dyDescent="0.5">
      <c r="C6" s="319" t="s">
        <v>81</v>
      </c>
      <c r="W6" s="310"/>
      <c r="AM6" s="24"/>
      <c r="AN6" s="24"/>
      <c r="AO6" s="24"/>
      <c r="AP6" s="24"/>
      <c r="AS6" s="25"/>
      <c r="AT6" s="26"/>
      <c r="AU6" s="25"/>
      <c r="BF6" s="24"/>
      <c r="BG6" s="24"/>
      <c r="BH6" s="24"/>
      <c r="BR6" s="22"/>
      <c r="BS6" s="22"/>
      <c r="CB6" s="24"/>
      <c r="CH6" s="24"/>
      <c r="CK6" s="24"/>
      <c r="CL6" s="24"/>
      <c r="CM6" s="24"/>
      <c r="CO6" s="24"/>
      <c r="CP6" s="24"/>
      <c r="CQ6" s="24"/>
      <c r="CR6" s="24"/>
      <c r="CS6" s="24"/>
      <c r="CT6" s="22"/>
      <c r="CU6" s="24"/>
      <c r="CV6" s="24"/>
      <c r="CW6" s="22"/>
      <c r="CX6" s="22"/>
      <c r="CY6" s="22"/>
      <c r="CZ6" s="22"/>
      <c r="DA6" s="22"/>
    </row>
    <row r="7" spans="1:105" ht="15.75" customHeight="1" x14ac:dyDescent="0.55000000000000004"/>
    <row r="8" spans="1:105" s="35" customFormat="1" ht="15.75" customHeight="1" x14ac:dyDescent="0.55000000000000004">
      <c r="A8" s="208" t="s">
        <v>82</v>
      </c>
      <c r="B8" s="224"/>
      <c r="C8" s="27"/>
      <c r="D8" s="195"/>
      <c r="E8" s="27"/>
      <c r="F8" s="27"/>
      <c r="G8" s="27"/>
      <c r="H8" s="27"/>
      <c r="I8" s="215" t="s">
        <v>83</v>
      </c>
      <c r="J8" s="231"/>
      <c r="K8" s="28"/>
      <c r="L8" s="28"/>
      <c r="M8" s="28"/>
      <c r="N8" s="192"/>
      <c r="O8" s="28"/>
      <c r="P8" s="28"/>
      <c r="Q8" s="28"/>
      <c r="R8" s="28"/>
      <c r="S8" s="28"/>
      <c r="T8" s="192"/>
      <c r="U8" s="28"/>
      <c r="V8" s="290" t="s">
        <v>84</v>
      </c>
      <c r="W8" s="29"/>
      <c r="X8" s="29"/>
      <c r="Y8" s="30"/>
      <c r="Z8" s="30"/>
      <c r="AA8" s="31"/>
      <c r="AB8" s="31"/>
      <c r="AC8" s="31"/>
      <c r="AD8" s="31"/>
      <c r="AE8" s="31"/>
      <c r="AF8" s="31"/>
      <c r="AG8" s="31"/>
      <c r="AH8" s="31"/>
      <c r="AI8" s="31"/>
      <c r="AJ8" s="31"/>
      <c r="AK8" s="31"/>
      <c r="AL8" s="31"/>
      <c r="AM8" s="32"/>
      <c r="AN8" s="32"/>
      <c r="AO8" s="33"/>
      <c r="AP8" s="32"/>
      <c r="AQ8" s="31"/>
      <c r="AR8" s="31"/>
      <c r="AS8" s="31"/>
      <c r="AT8" s="31"/>
      <c r="AU8" s="31"/>
      <c r="AV8" s="31"/>
      <c r="AW8" s="31"/>
      <c r="AX8" s="31"/>
      <c r="AY8" s="31"/>
      <c r="AZ8" s="31"/>
      <c r="BA8" s="31"/>
      <c r="BB8" s="31"/>
      <c r="BC8" s="31"/>
      <c r="BD8" s="31"/>
      <c r="BE8" s="31"/>
      <c r="BF8" s="34"/>
      <c r="BG8" s="33"/>
      <c r="BH8" s="34"/>
      <c r="BI8" s="31"/>
      <c r="BJ8" s="31"/>
      <c r="BK8" s="31"/>
      <c r="BL8" s="31"/>
      <c r="BM8" s="31"/>
      <c r="BN8" s="31"/>
      <c r="BO8" s="31"/>
      <c r="BP8" s="31"/>
      <c r="BQ8" s="31"/>
      <c r="BR8" s="31"/>
      <c r="BS8" s="31"/>
      <c r="BT8" s="31"/>
      <c r="BU8" s="31"/>
      <c r="BV8" s="31"/>
      <c r="BW8" s="31"/>
      <c r="BX8" s="31"/>
      <c r="BY8" s="31"/>
      <c r="BZ8" s="31"/>
      <c r="CA8" s="31"/>
      <c r="CB8" s="34"/>
      <c r="CC8" s="31"/>
      <c r="CD8" s="31"/>
      <c r="CE8" s="31"/>
      <c r="CF8" s="31"/>
      <c r="CG8" s="31"/>
      <c r="CH8" s="34"/>
      <c r="CI8" s="31"/>
      <c r="CJ8" s="31"/>
      <c r="CK8" s="34"/>
      <c r="CL8" s="34"/>
      <c r="CM8" s="34"/>
      <c r="CN8" s="34"/>
      <c r="CO8" s="34"/>
    </row>
    <row r="9" spans="1:105" s="35" customFormat="1" ht="15.75" customHeight="1" x14ac:dyDescent="0.55000000000000004">
      <c r="A9" s="209"/>
      <c r="B9" s="223"/>
      <c r="C9" s="320" t="s">
        <v>85</v>
      </c>
      <c r="D9" s="196"/>
      <c r="E9" s="36"/>
      <c r="F9" s="36"/>
      <c r="G9" s="36"/>
      <c r="H9" s="36"/>
      <c r="I9" s="216"/>
      <c r="J9" s="223"/>
      <c r="N9" s="193"/>
      <c r="T9" s="193"/>
      <c r="V9" s="291"/>
      <c r="Y9" s="38"/>
      <c r="Z9" s="38"/>
      <c r="AA9" s="39"/>
      <c r="AB9" s="39"/>
      <c r="AC9" s="39"/>
      <c r="AD9" s="39"/>
      <c r="AE9" s="39"/>
      <c r="AF9" s="39"/>
      <c r="AG9" s="39"/>
      <c r="AH9" s="39"/>
      <c r="AI9" s="39"/>
      <c r="AJ9" s="39"/>
      <c r="AK9" s="39"/>
      <c r="AL9" s="39"/>
      <c r="AM9" s="40"/>
      <c r="AN9" s="40"/>
      <c r="AO9" s="41"/>
      <c r="AP9" s="40"/>
      <c r="AQ9" s="39"/>
      <c r="AR9" s="39"/>
      <c r="AS9" s="39"/>
      <c r="AT9" s="39"/>
      <c r="AU9" s="39"/>
      <c r="AV9" s="39"/>
      <c r="AW9" s="39"/>
      <c r="AX9" s="39"/>
      <c r="AY9" s="39"/>
      <c r="AZ9" s="39"/>
      <c r="BA9" s="39"/>
      <c r="BB9" s="39"/>
      <c r="BC9" s="39"/>
      <c r="BD9" s="39"/>
      <c r="BE9" s="39"/>
      <c r="BF9" s="37"/>
      <c r="BG9" s="41"/>
      <c r="BH9" s="37"/>
      <c r="BI9" s="39"/>
      <c r="BJ9" s="39"/>
      <c r="BK9" s="39"/>
      <c r="BL9" s="39"/>
      <c r="BM9" s="39"/>
      <c r="BN9" s="39"/>
      <c r="BO9" s="39"/>
      <c r="BP9" s="39"/>
      <c r="BQ9" s="39"/>
      <c r="BR9" s="39"/>
      <c r="BS9" s="39"/>
      <c r="BT9" s="39"/>
      <c r="BU9" s="39"/>
      <c r="BV9" s="39"/>
      <c r="BW9" s="39"/>
      <c r="BX9" s="39"/>
      <c r="BY9" s="39"/>
      <c r="BZ9" s="39"/>
      <c r="CA9" s="39"/>
      <c r="CB9" s="37"/>
      <c r="CC9" s="39"/>
      <c r="CD9" s="39"/>
      <c r="CE9" s="39"/>
      <c r="CF9" s="39"/>
      <c r="CG9" s="39"/>
      <c r="CH9" s="37"/>
      <c r="CI9" s="39"/>
      <c r="CJ9" s="39"/>
      <c r="CK9" s="37"/>
      <c r="CL9" s="37"/>
      <c r="CM9" s="37"/>
      <c r="CN9" s="37"/>
      <c r="CO9" s="37"/>
    </row>
    <row r="10" spans="1:105" ht="15.75" customHeight="1" thickBot="1" x14ac:dyDescent="0.6">
      <c r="E10" s="222"/>
      <c r="F10" s="222"/>
      <c r="W10" s="42" t="s">
        <v>48</v>
      </c>
      <c r="X10" s="43"/>
      <c r="Y10" s="44"/>
      <c r="AD10" s="45" t="s">
        <v>327</v>
      </c>
      <c r="AF10" s="39"/>
    </row>
    <row r="11" spans="1:105" ht="15.75" customHeight="1" x14ac:dyDescent="0.55000000000000004">
      <c r="C11" s="35"/>
      <c r="D11" s="232" t="s">
        <v>87</v>
      </c>
      <c r="E11" s="35" t="s">
        <v>55</v>
      </c>
      <c r="F11" s="35" t="s">
        <v>88</v>
      </c>
      <c r="G11" s="35" t="s">
        <v>89</v>
      </c>
      <c r="H11" s="35"/>
      <c r="K11" s="37"/>
      <c r="L11" s="37"/>
      <c r="M11" s="37"/>
      <c r="N11" s="232" t="s">
        <v>87</v>
      </c>
      <c r="O11" s="35" t="s">
        <v>55</v>
      </c>
      <c r="P11" s="35" t="s">
        <v>88</v>
      </c>
      <c r="Q11" s="35" t="s">
        <v>89</v>
      </c>
      <c r="R11" s="22"/>
      <c r="S11" s="22"/>
      <c r="U11" s="22"/>
      <c r="W11" s="46" t="s">
        <v>328</v>
      </c>
      <c r="X11" s="200" t="s">
        <v>90</v>
      </c>
      <c r="Y11" s="47" t="s">
        <v>25</v>
      </c>
      <c r="AD11" s="285" t="s">
        <v>52</v>
      </c>
      <c r="AE11" s="286" t="s">
        <v>278</v>
      </c>
      <c r="AF11" s="119" t="s">
        <v>279</v>
      </c>
      <c r="BT11" s="39"/>
      <c r="BU11" s="39"/>
      <c r="BV11" s="39"/>
      <c r="BW11" s="39"/>
      <c r="BX11" s="39"/>
      <c r="BY11" s="39"/>
      <c r="CC11" s="39"/>
      <c r="CD11" s="39"/>
      <c r="CE11" s="39"/>
      <c r="CF11" s="39"/>
      <c r="CG11" s="39"/>
      <c r="CI11" s="39"/>
      <c r="CJ11" s="39"/>
    </row>
    <row r="12" spans="1:105" ht="15.75" customHeight="1" thickBot="1" x14ac:dyDescent="0.6">
      <c r="A12" s="210" t="s">
        <v>91</v>
      </c>
      <c r="B12" s="225"/>
      <c r="C12" s="202"/>
      <c r="D12" s="203"/>
      <c r="E12" s="202"/>
      <c r="F12" s="202"/>
      <c r="G12" s="202"/>
      <c r="H12" s="202"/>
      <c r="I12" s="217" t="s">
        <v>91</v>
      </c>
      <c r="J12" s="225"/>
      <c r="K12" s="202"/>
      <c r="L12" s="202"/>
      <c r="M12" s="202"/>
      <c r="N12" s="203"/>
      <c r="O12" s="202"/>
      <c r="P12" s="202"/>
      <c r="Q12" s="202"/>
      <c r="R12" s="202"/>
      <c r="S12" s="202"/>
      <c r="T12" s="203"/>
      <c r="U12" s="202"/>
      <c r="W12" s="49">
        <f>AM49-BD49</f>
        <v>447.3757233999695</v>
      </c>
      <c r="X12" s="50">
        <f>AN49-BE49</f>
        <v>-54.192898377037409</v>
      </c>
      <c r="Y12" s="51">
        <f>X12/AN49</f>
        <v>4.3682170150078747E-2</v>
      </c>
      <c r="AD12" s="287">
        <f>XIRR(CA18:CA47,V18:V47)</f>
        <v>9.1090747714042672E-2</v>
      </c>
      <c r="AE12" s="303">
        <f>XIRR(CQ18:CQ48,V18:V48)</f>
        <v>0.10416166186332704</v>
      </c>
      <c r="AF12" s="313">
        <f>P109</f>
        <v>3.2834000000000002E-2</v>
      </c>
      <c r="BT12" s="39"/>
      <c r="BU12" s="39"/>
      <c r="BV12" s="39"/>
      <c r="BW12" s="39"/>
      <c r="BX12" s="39"/>
      <c r="BY12" s="39"/>
      <c r="CC12" s="39"/>
      <c r="CD12" s="39"/>
      <c r="CE12" s="39"/>
      <c r="CF12" s="39"/>
      <c r="CG12" s="39"/>
      <c r="CI12" s="39"/>
      <c r="CJ12" s="39"/>
      <c r="CN12" s="22" t="s">
        <v>280</v>
      </c>
    </row>
    <row r="13" spans="1:105" ht="15.75" customHeight="1" x14ac:dyDescent="0.25">
      <c r="AD13" s="119" t="s">
        <v>281</v>
      </c>
      <c r="CN13" s="298">
        <f>IF(MIN(CN18:CN47)&lt;-0.1, 1, 0)</f>
        <v>0</v>
      </c>
    </row>
    <row r="14" spans="1:105" ht="15.75" customHeight="1" x14ac:dyDescent="0.45">
      <c r="B14" s="223" t="s">
        <v>93</v>
      </c>
      <c r="C14" s="206"/>
      <c r="D14" s="191" t="s">
        <v>102</v>
      </c>
      <c r="F14" s="149" t="s">
        <v>94</v>
      </c>
      <c r="J14" s="223" t="s">
        <v>93</v>
      </c>
      <c r="O14" s="21" t="s">
        <v>95</v>
      </c>
      <c r="P14" s="21" t="s">
        <v>96</v>
      </c>
      <c r="Q14" s="21" t="s">
        <v>94</v>
      </c>
      <c r="V14" s="292"/>
      <c r="W14" s="37"/>
      <c r="X14" s="37"/>
      <c r="Y14" s="53" t="s">
        <v>55</v>
      </c>
      <c r="Z14" s="54"/>
      <c r="AA14" s="54"/>
      <c r="AB14" s="54"/>
      <c r="AC14" s="54"/>
      <c r="AD14" s="54"/>
      <c r="AE14" s="54"/>
      <c r="AF14" s="54"/>
      <c r="AG14" s="54"/>
      <c r="AH14" s="54"/>
      <c r="AI14" s="54"/>
      <c r="AJ14" s="54"/>
      <c r="AK14" s="54"/>
      <c r="AL14" s="55"/>
      <c r="AM14" s="57"/>
      <c r="AN14" s="58"/>
      <c r="AO14" s="39"/>
      <c r="AP14" s="59" t="s">
        <v>98</v>
      </c>
      <c r="AQ14" s="60"/>
      <c r="AR14" s="60"/>
      <c r="AS14" s="60"/>
      <c r="AT14" s="60"/>
      <c r="AU14" s="60"/>
      <c r="AV14" s="60"/>
      <c r="AW14" s="60"/>
      <c r="AX14" s="60"/>
      <c r="AY14" s="60"/>
      <c r="AZ14" s="60"/>
      <c r="BA14" s="60"/>
      <c r="BB14" s="60"/>
      <c r="BC14" s="60"/>
      <c r="BD14" s="61"/>
      <c r="BE14" s="61" t="s">
        <v>50</v>
      </c>
      <c r="BF14" s="24"/>
      <c r="BG14" s="22"/>
      <c r="BI14" s="62" t="s">
        <v>99</v>
      </c>
      <c r="BJ14" s="63"/>
      <c r="BK14" s="63"/>
      <c r="BL14" s="63"/>
      <c r="BM14" s="63"/>
      <c r="BN14" s="63"/>
      <c r="BO14" s="63"/>
      <c r="BP14" s="63"/>
      <c r="BQ14" s="63"/>
      <c r="BR14" s="63"/>
      <c r="BS14" s="63"/>
      <c r="BT14" s="63"/>
      <c r="BU14" s="63"/>
      <c r="BV14" s="63"/>
      <c r="BW14" s="63"/>
      <c r="BX14" s="63"/>
      <c r="BY14" s="63"/>
      <c r="BZ14" s="63"/>
      <c r="CA14" s="64"/>
      <c r="CC14" s="237" t="s">
        <v>329</v>
      </c>
      <c r="CD14" s="236"/>
      <c r="CE14" s="236"/>
      <c r="CF14" s="236"/>
      <c r="CG14" s="238"/>
      <c r="CI14" s="237" t="s">
        <v>314</v>
      </c>
      <c r="CJ14" s="236"/>
      <c r="CK14" s="236"/>
      <c r="CL14" s="236"/>
      <c r="CM14" s="236"/>
      <c r="CN14" s="236"/>
      <c r="CO14" s="236"/>
      <c r="CP14" s="236"/>
      <c r="CQ14" s="236"/>
    </row>
    <row r="15" spans="1:105" ht="15.75" customHeight="1" x14ac:dyDescent="0.45">
      <c r="B15" s="223" t="s">
        <v>101</v>
      </c>
      <c r="D15" s="191" t="s">
        <v>102</v>
      </c>
      <c r="F15" s="326" t="s">
        <v>330</v>
      </c>
      <c r="Y15" s="53" t="s">
        <v>104</v>
      </c>
      <c r="Z15" s="54"/>
      <c r="AA15" s="54"/>
      <c r="AB15" s="54"/>
      <c r="AC15" s="54"/>
      <c r="AD15" s="66"/>
      <c r="AE15" s="53" t="s">
        <v>105</v>
      </c>
      <c r="AF15" s="54"/>
      <c r="AG15" s="54"/>
      <c r="AH15" s="54"/>
      <c r="AI15" s="54"/>
      <c r="AJ15" s="54"/>
      <c r="AK15" s="67"/>
      <c r="AL15" s="58" t="s">
        <v>50</v>
      </c>
      <c r="AM15" s="244"/>
      <c r="AN15" s="69" t="s">
        <v>50</v>
      </c>
      <c r="AO15" s="39"/>
      <c r="AP15" s="59" t="s">
        <v>104</v>
      </c>
      <c r="AQ15" s="60"/>
      <c r="AR15" s="60"/>
      <c r="AS15" s="60"/>
      <c r="AT15" s="70"/>
      <c r="AU15" s="60" t="s">
        <v>105</v>
      </c>
      <c r="AV15" s="60"/>
      <c r="AW15" s="60"/>
      <c r="AX15" s="60"/>
      <c r="AY15" s="60"/>
      <c r="AZ15" s="60"/>
      <c r="BA15" s="60"/>
      <c r="BB15" s="60"/>
      <c r="BC15" s="70"/>
      <c r="BD15" s="71" t="s">
        <v>50</v>
      </c>
      <c r="BE15" s="71" t="s">
        <v>106</v>
      </c>
      <c r="BF15" s="24"/>
      <c r="BG15" s="22"/>
      <c r="BI15" s="62" t="s">
        <v>104</v>
      </c>
      <c r="BJ15" s="63"/>
      <c r="BK15" s="63"/>
      <c r="BL15" s="63"/>
      <c r="BM15" s="63"/>
      <c r="BN15" s="63"/>
      <c r="BO15" s="63"/>
      <c r="BP15" s="72"/>
      <c r="BQ15" s="62" t="s">
        <v>105</v>
      </c>
      <c r="BR15" s="63"/>
      <c r="BS15" s="63"/>
      <c r="BT15" s="63"/>
      <c r="BU15" s="63"/>
      <c r="BV15" s="63"/>
      <c r="BW15" s="63"/>
      <c r="BX15" s="63"/>
      <c r="BY15" s="63"/>
      <c r="BZ15" s="72"/>
      <c r="CA15" s="73"/>
      <c r="CC15" s="267"/>
      <c r="CD15" s="268"/>
      <c r="CE15" s="268"/>
      <c r="CF15" s="268"/>
      <c r="CG15" s="269"/>
      <c r="CI15" s="237"/>
      <c r="CJ15" s="236"/>
      <c r="CK15" s="237"/>
      <c r="CL15" s="237"/>
      <c r="CM15" s="237"/>
      <c r="CN15" s="236"/>
      <c r="CO15" s="236"/>
      <c r="CP15" s="236"/>
      <c r="CQ15" s="236"/>
    </row>
    <row r="16" spans="1:105" ht="49.5" x14ac:dyDescent="0.45">
      <c r="V16" s="500" t="s">
        <v>108</v>
      </c>
      <c r="W16" s="501" t="s">
        <v>109</v>
      </c>
      <c r="X16" s="501" t="s">
        <v>13</v>
      </c>
      <c r="Y16" s="75" t="s">
        <v>110</v>
      </c>
      <c r="Z16" s="76" t="s">
        <v>111</v>
      </c>
      <c r="AA16" s="76" t="s">
        <v>112</v>
      </c>
      <c r="AB16" s="76" t="s">
        <v>113</v>
      </c>
      <c r="AC16" s="76" t="s">
        <v>331</v>
      </c>
      <c r="AD16" s="77" t="s">
        <v>114</v>
      </c>
      <c r="AE16" s="75" t="s">
        <v>115</v>
      </c>
      <c r="AF16" s="76" t="s">
        <v>332</v>
      </c>
      <c r="AG16" s="76" t="s">
        <v>116</v>
      </c>
      <c r="AH16" s="76" t="s">
        <v>117</v>
      </c>
      <c r="AI16" s="76" t="s">
        <v>118</v>
      </c>
      <c r="AJ16" s="76" t="s">
        <v>119</v>
      </c>
      <c r="AK16" s="78" t="s">
        <v>120</v>
      </c>
      <c r="AL16" s="79"/>
      <c r="AM16" s="80" t="s">
        <v>97</v>
      </c>
      <c r="AN16" s="80" t="s">
        <v>106</v>
      </c>
      <c r="AO16" s="39"/>
      <c r="AP16" s="81" t="s">
        <v>110</v>
      </c>
      <c r="AQ16" s="82" t="s">
        <v>111</v>
      </c>
      <c r="AR16" s="82" t="s">
        <v>112</v>
      </c>
      <c r="AS16" s="82" t="s">
        <v>122</v>
      </c>
      <c r="AT16" s="83" t="s">
        <v>114</v>
      </c>
      <c r="AU16" s="82" t="s">
        <v>123</v>
      </c>
      <c r="AV16" s="82" t="s">
        <v>124</v>
      </c>
      <c r="AW16" s="82" t="s">
        <v>125</v>
      </c>
      <c r="AX16" s="82" t="s">
        <v>126</v>
      </c>
      <c r="AY16" s="82" t="s">
        <v>117</v>
      </c>
      <c r="AZ16" s="82" t="s">
        <v>128</v>
      </c>
      <c r="BA16" s="82" t="s">
        <v>118</v>
      </c>
      <c r="BB16" s="82" t="s">
        <v>119</v>
      </c>
      <c r="BC16" s="83" t="s">
        <v>120</v>
      </c>
      <c r="BD16" s="84"/>
      <c r="BE16" s="83"/>
      <c r="BF16" s="24"/>
      <c r="BG16" s="85" t="s">
        <v>129</v>
      </c>
      <c r="BH16" s="24"/>
      <c r="BI16" s="86" t="s">
        <v>130</v>
      </c>
      <c r="BJ16" s="87" t="s">
        <v>124</v>
      </c>
      <c r="BK16" s="87" t="s">
        <v>125</v>
      </c>
      <c r="BL16" s="87" t="s">
        <v>126</v>
      </c>
      <c r="BM16" s="87" t="s">
        <v>128</v>
      </c>
      <c r="BN16" s="87" t="s">
        <v>113</v>
      </c>
      <c r="BO16" s="87" t="s">
        <v>331</v>
      </c>
      <c r="BP16" s="88" t="s">
        <v>114</v>
      </c>
      <c r="BQ16" s="87" t="s">
        <v>131</v>
      </c>
      <c r="BR16" s="87" t="s">
        <v>332</v>
      </c>
      <c r="BS16" s="87" t="s">
        <v>132</v>
      </c>
      <c r="BT16" s="87" t="s">
        <v>333</v>
      </c>
      <c r="BU16" s="87" t="s">
        <v>334</v>
      </c>
      <c r="BV16" s="87" t="s">
        <v>134</v>
      </c>
      <c r="BW16" s="87" t="s">
        <v>135</v>
      </c>
      <c r="BX16" s="87" t="s">
        <v>335</v>
      </c>
      <c r="BY16" s="87" t="s">
        <v>219</v>
      </c>
      <c r="BZ16" s="88" t="s">
        <v>120</v>
      </c>
      <c r="CA16" s="73" t="s">
        <v>336</v>
      </c>
      <c r="CC16" s="270" t="s">
        <v>337</v>
      </c>
      <c r="CD16" s="271" t="s">
        <v>338</v>
      </c>
      <c r="CE16" s="271" t="s">
        <v>339</v>
      </c>
      <c r="CF16" s="271" t="s">
        <v>219</v>
      </c>
      <c r="CG16" s="272" t="s">
        <v>283</v>
      </c>
      <c r="CI16" s="273" t="s">
        <v>340</v>
      </c>
      <c r="CJ16" s="274" t="s">
        <v>231</v>
      </c>
      <c r="CK16" s="273" t="s">
        <v>284</v>
      </c>
      <c r="CL16" s="273" t="s">
        <v>285</v>
      </c>
      <c r="CM16" s="273" t="s">
        <v>286</v>
      </c>
      <c r="CN16" s="274" t="s">
        <v>287</v>
      </c>
      <c r="CO16" s="274" t="s">
        <v>288</v>
      </c>
      <c r="CP16" s="274" t="s">
        <v>289</v>
      </c>
      <c r="CQ16" s="274" t="s">
        <v>290</v>
      </c>
    </row>
    <row r="17" spans="1:95" ht="15.75" customHeight="1" x14ac:dyDescent="0.55000000000000004">
      <c r="B17" s="223" t="s">
        <v>138</v>
      </c>
      <c r="J17" s="223" t="s">
        <v>139</v>
      </c>
      <c r="V17" s="294"/>
      <c r="W17" s="301">
        <v>0</v>
      </c>
      <c r="X17" s="302" t="s">
        <v>140</v>
      </c>
      <c r="Y17" s="93"/>
      <c r="Z17" s="94"/>
      <c r="AA17" s="94"/>
      <c r="AB17" s="94"/>
      <c r="AC17" s="94"/>
      <c r="AD17" s="94"/>
      <c r="AE17" s="94"/>
      <c r="AF17" s="94"/>
      <c r="AG17" s="94"/>
      <c r="AH17" s="94"/>
      <c r="AI17" s="94"/>
      <c r="AJ17" s="94"/>
      <c r="AK17" s="94"/>
      <c r="AL17" s="94"/>
      <c r="AM17" s="96">
        <f>O162</f>
        <v>-27.550307323514971</v>
      </c>
      <c r="AN17" s="97">
        <f>AM17*BG17</f>
        <v>-27.550307323514971</v>
      </c>
      <c r="AO17" s="98"/>
      <c r="AP17" s="99"/>
      <c r="AQ17" s="94"/>
      <c r="AR17" s="94"/>
      <c r="AS17" s="94"/>
      <c r="AT17" s="94"/>
      <c r="AU17" s="94"/>
      <c r="AV17" s="94"/>
      <c r="AW17" s="94"/>
      <c r="AX17" s="94"/>
      <c r="AY17" s="94"/>
      <c r="AZ17" s="94"/>
      <c r="BA17" s="94"/>
      <c r="BB17" s="94"/>
      <c r="BC17" s="94"/>
      <c r="BD17" s="94"/>
      <c r="BE17" s="100"/>
      <c r="BF17" s="26"/>
      <c r="BG17" s="180">
        <v>1</v>
      </c>
      <c r="BI17" s="101"/>
      <c r="BJ17" s="102"/>
      <c r="BK17" s="102"/>
      <c r="BL17" s="102"/>
      <c r="BM17" s="102"/>
      <c r="BN17" s="102"/>
      <c r="BO17" s="102"/>
      <c r="BP17" s="102"/>
      <c r="BQ17" s="102"/>
      <c r="BR17" s="102"/>
      <c r="BS17" s="102"/>
      <c r="BT17" s="102"/>
      <c r="BU17" s="102"/>
      <c r="BV17" s="102"/>
      <c r="BW17" s="102"/>
      <c r="BX17" s="102"/>
      <c r="BY17" s="102"/>
      <c r="BZ17" s="102"/>
      <c r="CA17" s="102"/>
      <c r="CB17" s="98"/>
      <c r="CC17" s="101"/>
      <c r="CD17" s="102"/>
      <c r="CE17" s="102"/>
      <c r="CF17" s="102"/>
      <c r="CG17" s="239"/>
      <c r="CH17" s="98"/>
      <c r="CI17" s="101"/>
      <c r="CJ17" s="102"/>
      <c r="CK17" s="304"/>
      <c r="CL17" s="304"/>
      <c r="CM17" s="304"/>
      <c r="CN17" s="304"/>
      <c r="CO17" s="304"/>
      <c r="CP17" s="304"/>
      <c r="CQ17" s="304"/>
    </row>
    <row r="18" spans="1:95" ht="15.75" customHeight="1" x14ac:dyDescent="0.45">
      <c r="C18" s="21" t="s">
        <v>15</v>
      </c>
      <c r="D18" s="191" t="s">
        <v>14</v>
      </c>
      <c r="F18" s="150">
        <v>3</v>
      </c>
      <c r="K18" s="21" t="s">
        <v>341</v>
      </c>
      <c r="N18" s="191" t="s">
        <v>14</v>
      </c>
      <c r="P18" s="91">
        <f>SUM(F18:F19)</f>
        <v>23</v>
      </c>
      <c r="V18" s="294">
        <f>IF(W18=1,DATE(YEAR($F$20)+(MONTH($F$20)&gt;=4),4,0),EOMONTH(V17,12))</f>
        <v>46477</v>
      </c>
      <c r="W18" s="366">
        <f>W17+1</f>
        <v>1</v>
      </c>
      <c r="X18" s="366" t="str">
        <f>IF(W18&lt;=$F$18,$C$18,IF(W18&gt;SUM($F$18:$F$19),"-",$C$19))</f>
        <v>整備期間</v>
      </c>
      <c r="Y18" s="106">
        <f t="shared" ref="Y18:Y47" si="0">IF($W18=$F$18,$O$95,0)</f>
        <v>0</v>
      </c>
      <c r="Z18" s="107">
        <f t="shared" ref="Z18:Z47" si="1">IF($W18=$F$18,$O$97,0)</f>
        <v>0</v>
      </c>
      <c r="AA18" s="107">
        <f t="shared" ref="AA18:AA47" si="2">IF($W18=$F$18,$O$96,0)</f>
        <v>0</v>
      </c>
      <c r="AB18" s="260">
        <f t="shared" ref="AB18:AB47" si="3">IF($X18=$C$19,IF(W18-$F$18&gt;=$E$78, $E$79, $E$77),0)</f>
        <v>0</v>
      </c>
      <c r="AC18" s="260">
        <f t="shared" ref="AC18:AC47" si="4">IF($X18=$C$19,$E$83,0)</f>
        <v>0</v>
      </c>
      <c r="AD18" s="261">
        <f>SUM(Y18:AC18)</f>
        <v>0</v>
      </c>
      <c r="AE18" s="262">
        <f t="shared" ref="AE18:AE47" si="5">IF($W18=$F$18,$O$34,0)</f>
        <v>0</v>
      </c>
      <c r="AF18" s="263">
        <f t="shared" ref="AF18:AF47" si="6">IFERROR(IF(W18-$F$18=$E$71, $E$70, 0), 0)</f>
        <v>0</v>
      </c>
      <c r="AG18" s="107">
        <f t="shared" ref="AG18:AG47" si="7">IF($X18="維持管理・運営期間",$O$46,0)</f>
        <v>0</v>
      </c>
      <c r="AH18" s="107">
        <f>IF($W18=1, $E$51, 0)+IF($X18=$C$19, $E$52, 0)</f>
        <v>10</v>
      </c>
      <c r="AI18" s="368">
        <f>IF(AND($W18&gt;$O$100, SUM($AA$17:AA17)&gt;0,SUM($AI$17:AI17)&lt;$O$96),$O$99,0)</f>
        <v>0</v>
      </c>
      <c r="AJ18" s="107">
        <f>IF(SUM($AA17:$AA$18)&gt;0,($O$96-SUM($AI17:$AI$18))*$E$100,0)</f>
        <v>0</v>
      </c>
      <c r="AK18" s="108">
        <f t="shared" ref="AK18:AK47" si="8">SUM(AE18:AJ18)</f>
        <v>10</v>
      </c>
      <c r="AL18" s="107">
        <f t="shared" ref="AL18:AL47" si="9">AD18-AK18</f>
        <v>-10</v>
      </c>
      <c r="AM18" s="109"/>
      <c r="AN18" s="108">
        <f t="shared" ref="AN18:AN47" si="10">AL18*$BG18</f>
        <v>-9.6354522977663102</v>
      </c>
      <c r="AO18" s="110"/>
      <c r="AP18" s="106">
        <f t="shared" ref="AP18:AP47" si="11">IF($W18=$F$18,$P$95,0)</f>
        <v>0</v>
      </c>
      <c r="AQ18" s="107">
        <f t="shared" ref="AQ18:AQ47" si="12">IF($W18=$F$18,$P$97,0)</f>
        <v>0</v>
      </c>
      <c r="AR18" s="107">
        <f t="shared" ref="AR18:AR47" si="13">IF($W18=$F$18,$P$96,0)</f>
        <v>0</v>
      </c>
      <c r="AS18" s="247">
        <f t="shared" ref="AS18:AS47" si="14">IF($W18="-",0,IF($W18&lt;=$F$18,$P$154,IF($W18=$F$18+1,$P$155,$P$156)))+IF($F$14=$Q$14, CJ18, 0)</f>
        <v>0</v>
      </c>
      <c r="AT18" s="248">
        <f t="shared" ref="AT18:AT47" si="15">SUM(AP18:AS18)</f>
        <v>0</v>
      </c>
      <c r="AU18" s="107">
        <f>BI18</f>
        <v>0</v>
      </c>
      <c r="AV18" s="107">
        <f t="shared" ref="AV18:AV47" si="16">BJ18</f>
        <v>0</v>
      </c>
      <c r="AW18" s="107">
        <f t="shared" ref="AW18:AW47" si="17">BK18</f>
        <v>0</v>
      </c>
      <c r="AX18" s="107">
        <f>IF($X18=$C$19, $P$48, 0)</f>
        <v>0</v>
      </c>
      <c r="AY18" s="107">
        <f>IF($W18=1, $F$51, 0)+IF($X18=$C$19, $F$52, 0)</f>
        <v>50</v>
      </c>
      <c r="AZ18" s="107">
        <f t="shared" ref="AZ18:AZ47" si="18">IF(AND(W18&gt;$F$18,W18&lt;=SUM($F$18:$F$19)),$P$62,0)</f>
        <v>0</v>
      </c>
      <c r="BA18" s="368">
        <f>IF(AND($W18&gt;$P$100, SUM($AR$17:AR17)&gt;0,SUM($BA$17:BA17)&lt;$P$96),$P$99,0)</f>
        <v>0</v>
      </c>
      <c r="BB18" s="107">
        <f>IF(SUM($AR17:$AR$18)&gt;0,($P$96-SUM($BA17:$BA$18))*$F$100,0)</f>
        <v>0</v>
      </c>
      <c r="BC18" s="108">
        <f>SUM(AU18:BB18)</f>
        <v>50</v>
      </c>
      <c r="BD18" s="107">
        <f>AT18-BC18</f>
        <v>-50</v>
      </c>
      <c r="BE18" s="108">
        <f t="shared" ref="BE18:BE27" si="19">BD18*$BG18</f>
        <v>-48.177261488831554</v>
      </c>
      <c r="BF18" s="111"/>
      <c r="BG18" s="180">
        <f>1/(1+$P$25)</f>
        <v>0.96354522977663104</v>
      </c>
      <c r="BI18" s="112">
        <f t="shared" ref="BI18:BI47" si="20">IF($W18=$F$18,$P$34,0)</f>
        <v>0</v>
      </c>
      <c r="BJ18" s="107">
        <f t="shared" ref="BJ18:BJ47" si="21">IFERROR(-PPMT($P$39,$W18-$F$18,$F$19,SUM($P$35,$P$59)),0)</f>
        <v>0</v>
      </c>
      <c r="BK18" s="107">
        <f t="shared" ref="BK18:BK47" si="22">IFERROR(-IPMT($P$39,$W18-$F$18,$F$19,SUM($P$35,$P$59)),0)</f>
        <v>0</v>
      </c>
      <c r="BL18" s="113">
        <f>AX18</f>
        <v>0</v>
      </c>
      <c r="BM18" s="113">
        <f>AZ18</f>
        <v>0</v>
      </c>
      <c r="BN18" s="260">
        <f t="shared" ref="BN18:BN47" si="23">IF($X18=$C$19,IF(W18-$F$18&gt;=$F$78, $F$79, $F$77),0)</f>
        <v>0</v>
      </c>
      <c r="BO18" s="260">
        <f t="shared" ref="BO18:BO47" si="24">IF($X18=$C$19,$F$83,0)</f>
        <v>0</v>
      </c>
      <c r="BP18" s="264">
        <f>SUM(BI18:BO18)</f>
        <v>0</v>
      </c>
      <c r="BQ18" s="263">
        <f t="shared" ref="BQ18:BQ47" si="25">IF($W18=$F$18,$P$36,0)</f>
        <v>0</v>
      </c>
      <c r="BR18" s="263">
        <f t="shared" ref="BR18:BR47" si="26">IFERROR(IF(W18-$F$18=$F$71, $F$70, 0), 0)</f>
        <v>0</v>
      </c>
      <c r="BS18" s="263">
        <f t="shared" ref="BS18:BS47" si="27">IF(AND(W18&gt;$F$18,W18&lt;=SUM($F$18:$F$19)),$P$46,0)</f>
        <v>0</v>
      </c>
      <c r="BT18" s="263">
        <f t="shared" ref="BT18:BT47" si="28">IFERROR(-IPMT($P$108,W18-$F$18,$F$19,$P$104),0)</f>
        <v>0</v>
      </c>
      <c r="BU18" s="263">
        <f t="shared" ref="BU18:BU47" si="29">IFERROR(-IPMT($P$109,W18-$F$18,$F$19,$P$105),0)</f>
        <v>0</v>
      </c>
      <c r="BV18" s="263">
        <f t="shared" ref="BV18:BV47" si="30">IF($W18&lt;=$P$18,$F$108/$F$18,0)</f>
        <v>12</v>
      </c>
      <c r="BW18" s="263">
        <f t="shared" ref="BW18:BW47" si="31">IF($W18=1,$F$107,0)</f>
        <v>100</v>
      </c>
      <c r="BX18" s="260">
        <f t="shared" ref="BX18:BX47" si="32">IF($X18="-",0,IF($W18&lt;=$F$18,$P$134,IF($W18=$F$18+1,$P$135,$P$136)))</f>
        <v>0.18</v>
      </c>
      <c r="BY18" s="260">
        <f>-CF18</f>
        <v>0</v>
      </c>
      <c r="BZ18" s="264">
        <f t="shared" ref="BZ18:BZ47" si="33">SUM(BQ18:BY18)</f>
        <v>112.18</v>
      </c>
      <c r="CA18" s="264">
        <f t="shared" ref="CA18:CA47" si="34">BP18-BZ18+BU18</f>
        <v>-112.18</v>
      </c>
      <c r="CB18" s="265"/>
      <c r="CC18" s="266">
        <f t="shared" ref="CC18:CC47" si="35">-IF(AND(X18=$C$19, W18&gt;=$F$71+$F$18), $F$70/$F$72, 0)</f>
        <v>0</v>
      </c>
      <c r="CD18" s="263">
        <f t="shared" ref="CD18:CD47" si="36">-IF(X18=$C$19, $P$88/$F$19, 0)</f>
        <v>0</v>
      </c>
      <c r="CE18" s="263" cm="1">
        <f t="array" ref="CE18">SUM(BK18:BO18, -BS18:BX18, CC18:CD18)</f>
        <v>-112.18</v>
      </c>
      <c r="CF18" s="260">
        <f t="shared" ref="CF18:CF47" si="37">-MAX(CE18*$F$123, 0)</f>
        <v>0</v>
      </c>
      <c r="CG18" s="261">
        <f>SUM(CE18:CF18)</f>
        <v>-112.18</v>
      </c>
      <c r="CH18" s="265"/>
      <c r="CI18" s="266">
        <f t="shared" ref="CI18:CI47" si="38">BR18+CC18+CI17</f>
        <v>0</v>
      </c>
      <c r="CJ18" s="263">
        <f t="shared" ref="CJ18:CJ47" si="39">CI18*$F$131</f>
        <v>0</v>
      </c>
      <c r="CK18" s="263">
        <f t="shared" ref="CK18:CK47" si="40">IF($W18=1, $P$112, 0)+IF($W18=$P$18, - $P$112, 0)</f>
        <v>393</v>
      </c>
      <c r="CL18" s="263">
        <f>IF($W18=$F$18, $P$106, 0)</f>
        <v>0</v>
      </c>
      <c r="CM18" s="263">
        <f t="shared" ref="CM18:CM47" si="41">IFERROR(PPMT($P$108, $W18-$F$18, $F$19, $P$104), 0)+IFERROR(PPMT($P$109, $W18-$F$18, $F$19, $P$105), 0)</f>
        <v>0</v>
      </c>
      <c r="CN18" s="263">
        <f>SUM(CN17, CA18, CP17, CK18:CM18, -BU18)</f>
        <v>280.82</v>
      </c>
      <c r="CO18" s="263">
        <f>SUM(CO17, CG18, CP17)</f>
        <v>-112.18</v>
      </c>
      <c r="CP18" s="263">
        <f>-IF($W18&lt;&gt;$P$18,MAX(0,MIN(CN18,CO18)),$CN18)</f>
        <v>0</v>
      </c>
      <c r="CQ18" s="263">
        <f>-SUM(CK18, CP18)</f>
        <v>-393</v>
      </c>
    </row>
    <row r="19" spans="1:95" ht="15.75" customHeight="1" x14ac:dyDescent="0.45">
      <c r="C19" s="21" t="s">
        <v>141</v>
      </c>
      <c r="D19" s="191" t="s">
        <v>14</v>
      </c>
      <c r="F19" s="150">
        <v>20</v>
      </c>
      <c r="V19" s="294">
        <f t="shared" ref="V19:V47" si="42">IF(W19=1,DATE(YEAR($F$20)+(MONTH($F$20)&gt;=4),4,0),EOMONTH(V18,12))</f>
        <v>46843</v>
      </c>
      <c r="W19" s="366">
        <f t="shared" ref="W19:W47" si="43">W18+1</f>
        <v>2</v>
      </c>
      <c r="X19" s="366" t="str">
        <f t="shared" ref="X19:X47" si="44">IF(W19&lt;=$F$18,$C$18,IF(W19&gt;SUM($F$18:$F$19),"-",$C$19))</f>
        <v>整備期間</v>
      </c>
      <c r="Y19" s="106">
        <f t="shared" si="0"/>
        <v>0</v>
      </c>
      <c r="Z19" s="107">
        <f t="shared" si="1"/>
        <v>0</v>
      </c>
      <c r="AA19" s="107">
        <f t="shared" si="2"/>
        <v>0</v>
      </c>
      <c r="AB19" s="260">
        <f t="shared" si="3"/>
        <v>0</v>
      </c>
      <c r="AC19" s="260">
        <f t="shared" si="4"/>
        <v>0</v>
      </c>
      <c r="AD19" s="261">
        <f t="shared" ref="AD19:AD47" si="45">SUM(Y19:AC19)</f>
        <v>0</v>
      </c>
      <c r="AE19" s="262">
        <f t="shared" si="5"/>
        <v>0</v>
      </c>
      <c r="AF19" s="263">
        <f t="shared" si="6"/>
        <v>0</v>
      </c>
      <c r="AG19" s="107">
        <f t="shared" si="7"/>
        <v>0</v>
      </c>
      <c r="AH19" s="107">
        <f t="shared" ref="AH19:AH47" si="46">IF($W19=1, $E$51, 0)+IF($X19=$C$19, $E$52, 0)</f>
        <v>0</v>
      </c>
      <c r="AI19" s="368">
        <f>IF(AND($W19&gt;$O$100, SUM($AA$17:AA18)&gt;0,SUM($AI$17:AI18)&lt;$O$96),$O$99,0)</f>
        <v>0</v>
      </c>
      <c r="AJ19" s="107">
        <f>IF(SUM($AA18:$AA$18)&gt;0,($O$96-SUM($AI18:$AI$18))*$E$100,0)</f>
        <v>0</v>
      </c>
      <c r="AK19" s="108">
        <f t="shared" si="8"/>
        <v>0</v>
      </c>
      <c r="AL19" s="113">
        <f t="shared" si="9"/>
        <v>0</v>
      </c>
      <c r="AM19" s="109"/>
      <c r="AN19" s="114">
        <f t="shared" si="10"/>
        <v>0</v>
      </c>
      <c r="AO19" s="110"/>
      <c r="AP19" s="112">
        <f t="shared" si="11"/>
        <v>0</v>
      </c>
      <c r="AQ19" s="113">
        <f t="shared" si="12"/>
        <v>0</v>
      </c>
      <c r="AR19" s="113">
        <f t="shared" si="13"/>
        <v>0</v>
      </c>
      <c r="AS19" s="247">
        <f t="shared" si="14"/>
        <v>0</v>
      </c>
      <c r="AT19" s="248">
        <f t="shared" si="15"/>
        <v>0</v>
      </c>
      <c r="AU19" s="107">
        <f t="shared" ref="AU19:AU47" si="47">BI19</f>
        <v>0</v>
      </c>
      <c r="AV19" s="107">
        <f t="shared" si="16"/>
        <v>0</v>
      </c>
      <c r="AW19" s="107">
        <f t="shared" si="17"/>
        <v>0</v>
      </c>
      <c r="AX19" s="107">
        <f t="shared" ref="AX19:AX47" si="48">IF($X19=$C$19, $P$48, 0)</f>
        <v>0</v>
      </c>
      <c r="AY19" s="107">
        <f t="shared" ref="AY19:AY47" si="49">IF($W19=1, $F$51, 0)+IF($X19=$C$19, $F$52, 0)</f>
        <v>0</v>
      </c>
      <c r="AZ19" s="107">
        <f t="shared" si="18"/>
        <v>0</v>
      </c>
      <c r="BA19" s="368">
        <f>IF(AND($W19&gt;$P$100, SUM($AR$17:AR18)&gt;0,SUM($BA$17:BA18)&lt;$P$96),$P$99,0)</f>
        <v>0</v>
      </c>
      <c r="BB19" s="107">
        <f>IF(SUM($AR18:$AR$18)&gt;0,($P$96-SUM($BA18:$BA$18))*$F$100,0)</f>
        <v>0</v>
      </c>
      <c r="BC19" s="108">
        <f t="shared" ref="BC19:BC27" si="50">SUM(AU19:BB19)</f>
        <v>0</v>
      </c>
      <c r="BD19" s="113">
        <f t="shared" ref="BD19:BD27" si="51">AT19-BC19</f>
        <v>0</v>
      </c>
      <c r="BE19" s="114">
        <f t="shared" si="19"/>
        <v>0</v>
      </c>
      <c r="BF19" s="111"/>
      <c r="BG19" s="180">
        <f t="shared" ref="BG19:BG47" si="52">BG18/(1+$P$25)</f>
        <v>0.92841940982530069</v>
      </c>
      <c r="BI19" s="106">
        <f t="shared" si="20"/>
        <v>0</v>
      </c>
      <c r="BJ19" s="107">
        <f t="shared" si="21"/>
        <v>0</v>
      </c>
      <c r="BK19" s="107">
        <f t="shared" si="22"/>
        <v>0</v>
      </c>
      <c r="BL19" s="113">
        <f t="shared" ref="BL19:BL27" si="53">AX19</f>
        <v>0</v>
      </c>
      <c r="BM19" s="113">
        <f t="shared" ref="BM19:BM27" si="54">AZ19</f>
        <v>0</v>
      </c>
      <c r="BN19" s="260">
        <f t="shared" si="23"/>
        <v>0</v>
      </c>
      <c r="BO19" s="260">
        <f t="shared" si="24"/>
        <v>0</v>
      </c>
      <c r="BP19" s="264">
        <f t="shared" ref="BP19:BP47" si="55">SUM(BI19:BO19)</f>
        <v>0</v>
      </c>
      <c r="BQ19" s="263">
        <f t="shared" si="25"/>
        <v>0</v>
      </c>
      <c r="BR19" s="263">
        <f t="shared" si="26"/>
        <v>0</v>
      </c>
      <c r="BS19" s="263">
        <f t="shared" si="27"/>
        <v>0</v>
      </c>
      <c r="BT19" s="263">
        <f t="shared" si="28"/>
        <v>0</v>
      </c>
      <c r="BU19" s="263">
        <f t="shared" si="29"/>
        <v>0</v>
      </c>
      <c r="BV19" s="263">
        <f t="shared" si="30"/>
        <v>12</v>
      </c>
      <c r="BW19" s="263">
        <f t="shared" si="31"/>
        <v>0</v>
      </c>
      <c r="BX19" s="260">
        <f t="shared" si="32"/>
        <v>0.18</v>
      </c>
      <c r="BY19" s="260">
        <f t="shared" ref="BY19:BY47" si="56">-CF19</f>
        <v>0</v>
      </c>
      <c r="BZ19" s="264">
        <f t="shared" si="33"/>
        <v>12.18</v>
      </c>
      <c r="CA19" s="264">
        <f t="shared" si="34"/>
        <v>-12.18</v>
      </c>
      <c r="CB19" s="265"/>
      <c r="CC19" s="266">
        <f t="shared" si="35"/>
        <v>0</v>
      </c>
      <c r="CD19" s="263">
        <f t="shared" si="36"/>
        <v>0</v>
      </c>
      <c r="CE19" s="263" cm="1">
        <f t="array" ref="CE19">SUM(BK19:BO19, -BS19:BX19, CC19:CD19)</f>
        <v>-12.18</v>
      </c>
      <c r="CF19" s="260">
        <f t="shared" si="37"/>
        <v>0</v>
      </c>
      <c r="CG19" s="261">
        <f t="shared" ref="CG19:CG47" si="57">SUM(CE19:CF19)</f>
        <v>-12.18</v>
      </c>
      <c r="CH19" s="265"/>
      <c r="CI19" s="266">
        <f t="shared" si="38"/>
        <v>0</v>
      </c>
      <c r="CJ19" s="263">
        <f t="shared" si="39"/>
        <v>0</v>
      </c>
      <c r="CK19" s="263">
        <f t="shared" si="40"/>
        <v>0</v>
      </c>
      <c r="CL19" s="263">
        <f t="shared" ref="CL19:CL47" si="58">IF($W19=$F$18, $P$106, 0)</f>
        <v>0</v>
      </c>
      <c r="CM19" s="263">
        <f t="shared" si="41"/>
        <v>0</v>
      </c>
      <c r="CN19" s="263">
        <f t="shared" ref="CN19:CN47" si="59">SUM(CN18, CA19, CP18, CK19:CM19, -BU19)</f>
        <v>268.64</v>
      </c>
      <c r="CO19" s="263">
        <f t="shared" ref="CO19:CO47" si="60">SUM(CO18, CG19, CP18)</f>
        <v>-124.36000000000001</v>
      </c>
      <c r="CP19" s="263">
        <f t="shared" ref="CP19:CP47" si="61">-IF($W19&lt;&gt;$P$18,MAX(0,MIN(CN19,CO19)),$CN19)</f>
        <v>0</v>
      </c>
      <c r="CQ19" s="263">
        <f t="shared" ref="CQ19:CQ47" si="62">-SUM(CK19, CP19)</f>
        <v>0</v>
      </c>
    </row>
    <row r="20" spans="1:95" s="116" customFormat="1" ht="15.75" customHeight="1" x14ac:dyDescent="0.45">
      <c r="A20" s="207"/>
      <c r="B20" s="223"/>
      <c r="C20" s="21" t="s">
        <v>142</v>
      </c>
      <c r="D20" s="191" t="s">
        <v>143</v>
      </c>
      <c r="E20" s="21"/>
      <c r="F20" s="151">
        <v>46113</v>
      </c>
      <c r="I20" s="214"/>
      <c r="J20" s="223"/>
      <c r="N20" s="191"/>
      <c r="P20" s="21"/>
      <c r="T20" s="191"/>
      <c r="V20" s="294">
        <f t="shared" si="42"/>
        <v>47208</v>
      </c>
      <c r="W20" s="366">
        <f t="shared" si="43"/>
        <v>3</v>
      </c>
      <c r="X20" s="366" t="str">
        <f t="shared" si="44"/>
        <v>整備期間</v>
      </c>
      <c r="Y20" s="106">
        <f t="shared" si="0"/>
        <v>1140</v>
      </c>
      <c r="Z20" s="107">
        <f t="shared" si="1"/>
        <v>0</v>
      </c>
      <c r="AA20" s="107">
        <f t="shared" si="2"/>
        <v>1282.5</v>
      </c>
      <c r="AB20" s="260">
        <f t="shared" si="3"/>
        <v>0</v>
      </c>
      <c r="AC20" s="260">
        <f t="shared" si="4"/>
        <v>0</v>
      </c>
      <c r="AD20" s="261">
        <f t="shared" si="45"/>
        <v>2422.5</v>
      </c>
      <c r="AE20" s="262">
        <f t="shared" si="5"/>
        <v>2850</v>
      </c>
      <c r="AF20" s="263">
        <f t="shared" si="6"/>
        <v>0</v>
      </c>
      <c r="AG20" s="107">
        <f t="shared" si="7"/>
        <v>0</v>
      </c>
      <c r="AH20" s="107">
        <f t="shared" si="46"/>
        <v>0</v>
      </c>
      <c r="AI20" s="368">
        <f>IF(AND($W20&gt;$O$100, SUM($AA$17:AA19)&gt;0,SUM($AI$17:AI19)&lt;$O$96),$O$99,0)</f>
        <v>0</v>
      </c>
      <c r="AJ20" s="107">
        <f>IF(SUM($AA$18:$AA19)&gt;0,($O$96-SUM($AI$18:$AI19))*$E$100,0)</f>
        <v>0</v>
      </c>
      <c r="AK20" s="108">
        <f t="shared" si="8"/>
        <v>2850</v>
      </c>
      <c r="AL20" s="113">
        <f t="shared" si="9"/>
        <v>-427.5</v>
      </c>
      <c r="AM20" s="109"/>
      <c r="AN20" s="114">
        <f t="shared" si="10"/>
        <v>-382.43042500083448</v>
      </c>
      <c r="AO20" s="110"/>
      <c r="AP20" s="112">
        <f t="shared" si="11"/>
        <v>920</v>
      </c>
      <c r="AQ20" s="113">
        <f t="shared" si="12"/>
        <v>0</v>
      </c>
      <c r="AR20" s="113">
        <f t="shared" si="13"/>
        <v>1035</v>
      </c>
      <c r="AS20" s="247">
        <f t="shared" si="14"/>
        <v>0</v>
      </c>
      <c r="AT20" s="248">
        <f t="shared" si="15"/>
        <v>1955</v>
      </c>
      <c r="AU20" s="107">
        <f t="shared" si="47"/>
        <v>1150</v>
      </c>
      <c r="AV20" s="107">
        <f t="shared" si="16"/>
        <v>0</v>
      </c>
      <c r="AW20" s="107">
        <f t="shared" si="17"/>
        <v>0</v>
      </c>
      <c r="AX20" s="107">
        <f t="shared" si="48"/>
        <v>0</v>
      </c>
      <c r="AY20" s="107">
        <f t="shared" si="49"/>
        <v>0</v>
      </c>
      <c r="AZ20" s="107">
        <f t="shared" si="18"/>
        <v>0</v>
      </c>
      <c r="BA20" s="368">
        <f>IF(AND($W20&gt;$P$100, SUM($AR$17:AR19)&gt;0,SUM($BA$17:BA19)&lt;$P$96),$P$99,0)</f>
        <v>0</v>
      </c>
      <c r="BB20" s="107">
        <f>IF(SUM($AR$18:$AR19)&gt;0,($P$96-SUM($BA$18:$BA19))*$F$100,0)</f>
        <v>0</v>
      </c>
      <c r="BC20" s="108">
        <f t="shared" si="50"/>
        <v>1150</v>
      </c>
      <c r="BD20" s="113">
        <f t="shared" si="51"/>
        <v>805</v>
      </c>
      <c r="BE20" s="114">
        <f t="shared" si="19"/>
        <v>720.13214532320876</v>
      </c>
      <c r="BF20" s="111"/>
      <c r="BG20" s="180">
        <f t="shared" si="52"/>
        <v>0.89457409356920348</v>
      </c>
      <c r="BH20" s="22"/>
      <c r="BI20" s="106">
        <f t="shared" si="20"/>
        <v>1150</v>
      </c>
      <c r="BJ20" s="107">
        <f t="shared" si="21"/>
        <v>0</v>
      </c>
      <c r="BK20" s="107">
        <f t="shared" si="22"/>
        <v>0</v>
      </c>
      <c r="BL20" s="113">
        <f t="shared" si="53"/>
        <v>0</v>
      </c>
      <c r="BM20" s="113">
        <f t="shared" si="54"/>
        <v>0</v>
      </c>
      <c r="BN20" s="260">
        <f t="shared" si="23"/>
        <v>0</v>
      </c>
      <c r="BO20" s="260">
        <f t="shared" si="24"/>
        <v>0</v>
      </c>
      <c r="BP20" s="264">
        <f t="shared" si="55"/>
        <v>1150</v>
      </c>
      <c r="BQ20" s="263">
        <f t="shared" si="25"/>
        <v>2300</v>
      </c>
      <c r="BR20" s="263">
        <f t="shared" si="26"/>
        <v>0</v>
      </c>
      <c r="BS20" s="263">
        <f t="shared" si="27"/>
        <v>0</v>
      </c>
      <c r="BT20" s="263">
        <f t="shared" si="28"/>
        <v>0</v>
      </c>
      <c r="BU20" s="263">
        <f t="shared" si="29"/>
        <v>0</v>
      </c>
      <c r="BV20" s="263">
        <f t="shared" si="30"/>
        <v>12</v>
      </c>
      <c r="BW20" s="263">
        <f t="shared" si="31"/>
        <v>0</v>
      </c>
      <c r="BX20" s="260">
        <f t="shared" si="32"/>
        <v>0.18</v>
      </c>
      <c r="BY20" s="260">
        <f t="shared" si="56"/>
        <v>0</v>
      </c>
      <c r="BZ20" s="264">
        <f t="shared" si="33"/>
        <v>2312.1799999999998</v>
      </c>
      <c r="CA20" s="264">
        <f t="shared" si="34"/>
        <v>-1162.1799999999998</v>
      </c>
      <c r="CB20" s="265"/>
      <c r="CC20" s="266">
        <f t="shared" si="35"/>
        <v>0</v>
      </c>
      <c r="CD20" s="263">
        <f t="shared" si="36"/>
        <v>0</v>
      </c>
      <c r="CE20" s="263" cm="1">
        <f t="array" ref="CE20">SUM(BK20:BO20, -BS20:BX20, CC20:CD20)</f>
        <v>-12.18</v>
      </c>
      <c r="CF20" s="260">
        <f t="shared" si="37"/>
        <v>0</v>
      </c>
      <c r="CG20" s="261">
        <f t="shared" si="57"/>
        <v>-12.18</v>
      </c>
      <c r="CH20" s="265"/>
      <c r="CI20" s="266">
        <f t="shared" si="38"/>
        <v>0</v>
      </c>
      <c r="CJ20" s="263">
        <f t="shared" si="39"/>
        <v>0</v>
      </c>
      <c r="CK20" s="263">
        <f t="shared" si="40"/>
        <v>0</v>
      </c>
      <c r="CL20" s="263">
        <f>IF($W20=$F$18, $P$106, 0)</f>
        <v>1543</v>
      </c>
      <c r="CM20" s="263">
        <f t="shared" si="41"/>
        <v>0</v>
      </c>
      <c r="CN20" s="263">
        <f t="shared" si="59"/>
        <v>649.46000000000015</v>
      </c>
      <c r="CO20" s="263">
        <f t="shared" si="60"/>
        <v>-136.54000000000002</v>
      </c>
      <c r="CP20" s="263">
        <f t="shared" si="61"/>
        <v>0</v>
      </c>
      <c r="CQ20" s="263">
        <f t="shared" si="62"/>
        <v>0</v>
      </c>
    </row>
    <row r="21" spans="1:95" ht="15.75" customHeight="1" x14ac:dyDescent="0.45">
      <c r="C21" s="116" t="s">
        <v>144</v>
      </c>
      <c r="D21" s="191" t="s">
        <v>143</v>
      </c>
      <c r="F21" s="152">
        <f>EOMONTH(F20,12*F18-1)</f>
        <v>47208</v>
      </c>
      <c r="V21" s="294">
        <f t="shared" si="42"/>
        <v>47573</v>
      </c>
      <c r="W21" s="366">
        <f t="shared" si="43"/>
        <v>4</v>
      </c>
      <c r="X21" s="366" t="str">
        <f t="shared" si="44"/>
        <v>維持管理・運営期間</v>
      </c>
      <c r="Y21" s="106">
        <f t="shared" si="0"/>
        <v>0</v>
      </c>
      <c r="Z21" s="107">
        <f t="shared" si="1"/>
        <v>0</v>
      </c>
      <c r="AA21" s="107">
        <f t="shared" si="2"/>
        <v>0</v>
      </c>
      <c r="AB21" s="260">
        <f t="shared" si="3"/>
        <v>60</v>
      </c>
      <c r="AC21" s="260">
        <f t="shared" si="4"/>
        <v>0</v>
      </c>
      <c r="AD21" s="261">
        <f t="shared" si="45"/>
        <v>60</v>
      </c>
      <c r="AE21" s="262">
        <f t="shared" si="5"/>
        <v>0</v>
      </c>
      <c r="AF21" s="263">
        <f t="shared" si="6"/>
        <v>0</v>
      </c>
      <c r="AG21" s="107">
        <f t="shared" si="7"/>
        <v>47.5</v>
      </c>
      <c r="AH21" s="107">
        <f t="shared" si="46"/>
        <v>10</v>
      </c>
      <c r="AI21" s="368">
        <f>IF(AND($W21&gt;$O$100, SUM($AA$17:AA20)&gt;0,SUM($AI$17:AI20)&lt;$O$96),$O$99,0)</f>
        <v>0</v>
      </c>
      <c r="AJ21" s="107">
        <f>IF(SUM($AA$18:$AA20)&gt;0,($O$96-SUM($AI$18:$AI20))*$E$100,0)</f>
        <v>25.008749999999999</v>
      </c>
      <c r="AK21" s="108">
        <f t="shared" si="8"/>
        <v>82.508749999999992</v>
      </c>
      <c r="AL21" s="113">
        <f t="shared" si="9"/>
        <v>-22.508749999999992</v>
      </c>
      <c r="AM21" s="109"/>
      <c r="AN21" s="114">
        <f t="shared" si="10"/>
        <v>-19.401700684912811</v>
      </c>
      <c r="AO21" s="110"/>
      <c r="AP21" s="112">
        <f t="shared" si="11"/>
        <v>0</v>
      </c>
      <c r="AQ21" s="113">
        <f t="shared" si="12"/>
        <v>0</v>
      </c>
      <c r="AR21" s="113">
        <f t="shared" si="13"/>
        <v>0</v>
      </c>
      <c r="AS21" s="247">
        <f t="shared" si="14"/>
        <v>0</v>
      </c>
      <c r="AT21" s="248">
        <f t="shared" si="15"/>
        <v>0</v>
      </c>
      <c r="AU21" s="107">
        <f t="shared" si="47"/>
        <v>0</v>
      </c>
      <c r="AV21" s="107">
        <f t="shared" si="16"/>
        <v>39.494920286174214</v>
      </c>
      <c r="AW21" s="107">
        <f t="shared" si="17"/>
        <v>43.509099999999997</v>
      </c>
      <c r="AX21" s="107">
        <f t="shared" si="48"/>
        <v>0</v>
      </c>
      <c r="AY21" s="107">
        <f t="shared" si="49"/>
        <v>6</v>
      </c>
      <c r="AZ21" s="107">
        <f t="shared" si="18"/>
        <v>0</v>
      </c>
      <c r="BA21" s="368">
        <f>IF(AND($W21&gt;$P$100, SUM($AR$17:AR20)&gt;0,SUM($BA$17:BA20)&lt;$P$96),$P$99,0)</f>
        <v>0</v>
      </c>
      <c r="BB21" s="107">
        <f>IF(SUM($AR$18:$AR20)&gt;0,($P$96-SUM($BA$18:$BA20))*$F$100,0)</f>
        <v>20.182500000000001</v>
      </c>
      <c r="BC21" s="108">
        <f t="shared" si="50"/>
        <v>109.18652028617421</v>
      </c>
      <c r="BD21" s="113">
        <f t="shared" si="51"/>
        <v>-109.18652028617421</v>
      </c>
      <c r="BE21" s="114">
        <f t="shared" si="19"/>
        <v>-94.114696969823456</v>
      </c>
      <c r="BF21" s="111"/>
      <c r="BG21" s="180">
        <f t="shared" si="52"/>
        <v>0.86196260054035956</v>
      </c>
      <c r="BI21" s="106">
        <f t="shared" si="20"/>
        <v>0</v>
      </c>
      <c r="BJ21" s="107">
        <f t="shared" si="21"/>
        <v>39.494920286174214</v>
      </c>
      <c r="BK21" s="107">
        <f t="shared" si="22"/>
        <v>43.509099999999997</v>
      </c>
      <c r="BL21" s="113">
        <f t="shared" si="53"/>
        <v>0</v>
      </c>
      <c r="BM21" s="113">
        <f t="shared" si="54"/>
        <v>0</v>
      </c>
      <c r="BN21" s="260">
        <f t="shared" si="23"/>
        <v>110</v>
      </c>
      <c r="BO21" s="260">
        <f t="shared" si="24"/>
        <v>50</v>
      </c>
      <c r="BP21" s="264">
        <f t="shared" si="55"/>
        <v>243.00402028617421</v>
      </c>
      <c r="BQ21" s="263">
        <f t="shared" si="25"/>
        <v>0</v>
      </c>
      <c r="BR21" s="263">
        <f t="shared" si="26"/>
        <v>0</v>
      </c>
      <c r="BS21" s="263">
        <f t="shared" si="27"/>
        <v>47.5</v>
      </c>
      <c r="BT21" s="263">
        <f t="shared" si="28"/>
        <v>32.009099999999997</v>
      </c>
      <c r="BU21" s="263">
        <f t="shared" si="29"/>
        <v>12.903762</v>
      </c>
      <c r="BV21" s="263">
        <f t="shared" si="30"/>
        <v>12</v>
      </c>
      <c r="BW21" s="263">
        <f t="shared" si="31"/>
        <v>0</v>
      </c>
      <c r="BX21" s="260">
        <f t="shared" si="32"/>
        <v>0.73</v>
      </c>
      <c r="BY21" s="260">
        <f t="shared" si="56"/>
        <v>15.838604193</v>
      </c>
      <c r="BZ21" s="264">
        <f t="shared" si="33"/>
        <v>120.98146619299999</v>
      </c>
      <c r="CA21" s="264">
        <f t="shared" si="34"/>
        <v>134.92631609317422</v>
      </c>
      <c r="CB21" s="265"/>
      <c r="CC21" s="266">
        <f t="shared" si="35"/>
        <v>0</v>
      </c>
      <c r="CD21" s="263">
        <f t="shared" si="36"/>
        <v>-27.5</v>
      </c>
      <c r="CE21" s="263" cm="1">
        <f t="array" ref="CE21">SUM(BK21:BO21, -BS21:BX21, CC21:CD21)</f>
        <v>70.866237999999996</v>
      </c>
      <c r="CF21" s="260">
        <f t="shared" si="37"/>
        <v>-15.838604193</v>
      </c>
      <c r="CG21" s="261">
        <f t="shared" si="57"/>
        <v>55.027633806999994</v>
      </c>
      <c r="CH21" s="265"/>
      <c r="CI21" s="266">
        <f t="shared" si="38"/>
        <v>0</v>
      </c>
      <c r="CJ21" s="263">
        <f t="shared" si="39"/>
        <v>0</v>
      </c>
      <c r="CK21" s="263">
        <f t="shared" si="40"/>
        <v>0</v>
      </c>
      <c r="CL21" s="263">
        <f t="shared" si="58"/>
        <v>0</v>
      </c>
      <c r="CM21" s="263">
        <f t="shared" si="41"/>
        <v>-57.958302759109877</v>
      </c>
      <c r="CN21" s="263">
        <f t="shared" si="59"/>
        <v>713.5242513340645</v>
      </c>
      <c r="CO21" s="263">
        <f t="shared" si="60"/>
        <v>-81.51236619300002</v>
      </c>
      <c r="CP21" s="263">
        <f t="shared" si="61"/>
        <v>0</v>
      </c>
      <c r="CQ21" s="263">
        <f t="shared" si="62"/>
        <v>0</v>
      </c>
    </row>
    <row r="22" spans="1:95" ht="15.75" customHeight="1" x14ac:dyDescent="0.45">
      <c r="C22" s="21" t="s">
        <v>145</v>
      </c>
      <c r="D22" s="191" t="s">
        <v>143</v>
      </c>
      <c r="F22" s="152">
        <f>F21+1</f>
        <v>47209</v>
      </c>
      <c r="V22" s="294">
        <f t="shared" si="42"/>
        <v>47938</v>
      </c>
      <c r="W22" s="366">
        <f t="shared" si="43"/>
        <v>5</v>
      </c>
      <c r="X22" s="366" t="str">
        <f t="shared" si="44"/>
        <v>維持管理・運営期間</v>
      </c>
      <c r="Y22" s="106">
        <f t="shared" si="0"/>
        <v>0</v>
      </c>
      <c r="Z22" s="107">
        <f t="shared" si="1"/>
        <v>0</v>
      </c>
      <c r="AA22" s="107">
        <f t="shared" si="2"/>
        <v>0</v>
      </c>
      <c r="AB22" s="260">
        <f t="shared" si="3"/>
        <v>60</v>
      </c>
      <c r="AC22" s="260">
        <f t="shared" si="4"/>
        <v>0</v>
      </c>
      <c r="AD22" s="261">
        <f t="shared" si="45"/>
        <v>60</v>
      </c>
      <c r="AE22" s="262">
        <f t="shared" si="5"/>
        <v>0</v>
      </c>
      <c r="AF22" s="263">
        <f t="shared" si="6"/>
        <v>0</v>
      </c>
      <c r="AG22" s="107">
        <f t="shared" si="7"/>
        <v>47.5</v>
      </c>
      <c r="AH22" s="107">
        <f t="shared" si="46"/>
        <v>10</v>
      </c>
      <c r="AI22" s="368">
        <f>IF(AND($W22&gt;$O$100, SUM($AA$17:AA21)&gt;0,SUM($AI$17:AI21)&lt;$O$96),$O$99,0)</f>
        <v>0</v>
      </c>
      <c r="AJ22" s="107">
        <f>IF(SUM($AA$18:$AA21)&gt;0,($O$96-SUM($AI$18:$AI21))*$E$100,0)</f>
        <v>25.008749999999999</v>
      </c>
      <c r="AK22" s="108">
        <f t="shared" si="8"/>
        <v>82.508749999999992</v>
      </c>
      <c r="AL22" s="113">
        <f t="shared" si="9"/>
        <v>-22.508749999999992</v>
      </c>
      <c r="AM22" s="109"/>
      <c r="AN22" s="114">
        <f t="shared" si="10"/>
        <v>-18.694416144501734</v>
      </c>
      <c r="AO22" s="110"/>
      <c r="AP22" s="112">
        <f t="shared" si="11"/>
        <v>0</v>
      </c>
      <c r="AQ22" s="113">
        <f t="shared" si="12"/>
        <v>0</v>
      </c>
      <c r="AR22" s="113">
        <f t="shared" si="13"/>
        <v>0</v>
      </c>
      <c r="AS22" s="247">
        <f t="shared" si="14"/>
        <v>0</v>
      </c>
      <c r="AT22" s="248">
        <f t="shared" si="15"/>
        <v>0</v>
      </c>
      <c r="AU22" s="107">
        <f t="shared" si="47"/>
        <v>0</v>
      </c>
      <c r="AV22" s="107">
        <f t="shared" si="16"/>
        <v>40.989171100281325</v>
      </c>
      <c r="AW22" s="107">
        <f t="shared" si="17"/>
        <v>42.014849185892885</v>
      </c>
      <c r="AX22" s="107">
        <f t="shared" si="48"/>
        <v>0</v>
      </c>
      <c r="AY22" s="107">
        <f t="shared" si="49"/>
        <v>6</v>
      </c>
      <c r="AZ22" s="107">
        <f t="shared" si="18"/>
        <v>0</v>
      </c>
      <c r="BA22" s="368">
        <f>IF(AND($W22&gt;$P$100, SUM($AR$17:AR21)&gt;0,SUM($BA$17:BA21)&lt;$P$96),$P$99,0)</f>
        <v>0</v>
      </c>
      <c r="BB22" s="107">
        <f>IF(SUM($AR$18:$AR21)&gt;0,($P$96-SUM($BA$18:$BA21))*$F$100,0)</f>
        <v>20.182500000000001</v>
      </c>
      <c r="BC22" s="108">
        <f t="shared" si="50"/>
        <v>109.18652028617421</v>
      </c>
      <c r="BD22" s="113">
        <f t="shared" si="51"/>
        <v>-109.18652028617421</v>
      </c>
      <c r="BE22" s="114">
        <f t="shared" si="19"/>
        <v>-90.683767317146533</v>
      </c>
      <c r="BF22" s="111"/>
      <c r="BG22" s="180">
        <f t="shared" si="52"/>
        <v>0.8305399519965232</v>
      </c>
      <c r="BI22" s="106">
        <f t="shared" si="20"/>
        <v>0</v>
      </c>
      <c r="BJ22" s="107">
        <f t="shared" si="21"/>
        <v>40.989171100281325</v>
      </c>
      <c r="BK22" s="107">
        <f t="shared" si="22"/>
        <v>42.014849185892885</v>
      </c>
      <c r="BL22" s="113">
        <f t="shared" si="53"/>
        <v>0</v>
      </c>
      <c r="BM22" s="113">
        <f t="shared" si="54"/>
        <v>0</v>
      </c>
      <c r="BN22" s="260">
        <f t="shared" si="23"/>
        <v>110</v>
      </c>
      <c r="BO22" s="260">
        <f t="shared" si="24"/>
        <v>50</v>
      </c>
      <c r="BP22" s="264">
        <f t="shared" si="55"/>
        <v>243.00402028617421</v>
      </c>
      <c r="BQ22" s="263">
        <f t="shared" si="25"/>
        <v>0</v>
      </c>
      <c r="BR22" s="263">
        <f t="shared" si="26"/>
        <v>0</v>
      </c>
      <c r="BS22" s="263">
        <f t="shared" si="27"/>
        <v>47.5</v>
      </c>
      <c r="BT22" s="263">
        <f t="shared" si="28"/>
        <v>30.791381382135359</v>
      </c>
      <c r="BU22" s="263">
        <f t="shared" si="29"/>
        <v>12.4372243131529</v>
      </c>
      <c r="BV22" s="263">
        <f t="shared" si="30"/>
        <v>12</v>
      </c>
      <c r="BW22" s="263">
        <f t="shared" si="31"/>
        <v>0</v>
      </c>
      <c r="BX22" s="260">
        <f t="shared" si="32"/>
        <v>0.18</v>
      </c>
      <c r="BY22" s="260">
        <f t="shared" si="56"/>
        <v>16.003995420150137</v>
      </c>
      <c r="BZ22" s="264">
        <f t="shared" si="33"/>
        <v>118.91260111543839</v>
      </c>
      <c r="CA22" s="264">
        <f t="shared" si="34"/>
        <v>136.52864348388871</v>
      </c>
      <c r="CB22" s="265"/>
      <c r="CC22" s="266">
        <f t="shared" si="35"/>
        <v>0</v>
      </c>
      <c r="CD22" s="263">
        <f t="shared" si="36"/>
        <v>-27.5</v>
      </c>
      <c r="CE22" s="263" cm="1">
        <f t="array" ref="CE22">SUM(BK22:BO22, -BS22:BX22, CC22:CD22)</f>
        <v>71.606243490604641</v>
      </c>
      <c r="CF22" s="260">
        <f t="shared" si="37"/>
        <v>-16.003995420150137</v>
      </c>
      <c r="CG22" s="261">
        <f t="shared" si="57"/>
        <v>55.602248070454507</v>
      </c>
      <c r="CH22" s="265"/>
      <c r="CI22" s="266">
        <f t="shared" si="38"/>
        <v>0</v>
      </c>
      <c r="CJ22" s="263">
        <f t="shared" si="39"/>
        <v>0</v>
      </c>
      <c r="CK22" s="263">
        <f t="shared" si="40"/>
        <v>0</v>
      </c>
      <c r="CL22" s="263">
        <f t="shared" si="58"/>
        <v>0</v>
      </c>
      <c r="CM22" s="263">
        <f t="shared" si="41"/>
        <v>-59.642559063821608</v>
      </c>
      <c r="CN22" s="263">
        <f t="shared" si="59"/>
        <v>777.97311144097864</v>
      </c>
      <c r="CO22" s="263">
        <f t="shared" si="60"/>
        <v>-25.910118122545512</v>
      </c>
      <c r="CP22" s="263">
        <f t="shared" si="61"/>
        <v>0</v>
      </c>
      <c r="CQ22" s="263">
        <f t="shared" si="62"/>
        <v>0</v>
      </c>
    </row>
    <row r="23" spans="1:95" ht="15.75" customHeight="1" x14ac:dyDescent="0.45">
      <c r="C23" s="21" t="s">
        <v>146</v>
      </c>
      <c r="D23" s="191" t="s">
        <v>143</v>
      </c>
      <c r="F23" s="152">
        <f>EOMONTH(F22,12*F19-1)</f>
        <v>54513</v>
      </c>
      <c r="I23" s="218"/>
      <c r="V23" s="294">
        <f t="shared" si="42"/>
        <v>48304</v>
      </c>
      <c r="W23" s="366">
        <f t="shared" si="43"/>
        <v>6</v>
      </c>
      <c r="X23" s="366" t="str">
        <f t="shared" si="44"/>
        <v>維持管理・運営期間</v>
      </c>
      <c r="Y23" s="106">
        <f t="shared" si="0"/>
        <v>0</v>
      </c>
      <c r="Z23" s="107">
        <f t="shared" si="1"/>
        <v>0</v>
      </c>
      <c r="AA23" s="107">
        <f t="shared" si="2"/>
        <v>0</v>
      </c>
      <c r="AB23" s="260">
        <f t="shared" si="3"/>
        <v>60</v>
      </c>
      <c r="AC23" s="260">
        <f t="shared" si="4"/>
        <v>0</v>
      </c>
      <c r="AD23" s="261">
        <f t="shared" si="45"/>
        <v>60</v>
      </c>
      <c r="AE23" s="262">
        <f t="shared" si="5"/>
        <v>0</v>
      </c>
      <c r="AF23" s="263">
        <f t="shared" si="6"/>
        <v>0</v>
      </c>
      <c r="AG23" s="107">
        <f t="shared" si="7"/>
        <v>47.5</v>
      </c>
      <c r="AH23" s="107">
        <f t="shared" si="46"/>
        <v>10</v>
      </c>
      <c r="AI23" s="368">
        <f>IF(AND($W23&gt;$O$100, SUM($AA$17:AA22)&gt;0,SUM($AI$17:AI22)&lt;$O$96),$O$99,0)</f>
        <v>0</v>
      </c>
      <c r="AJ23" s="107">
        <f>IF(SUM($AA$18:$AA22)&gt;0,($O$96-SUM($AI$18:$AI22))*$E$100,0)</f>
        <v>25.008749999999999</v>
      </c>
      <c r="AK23" s="108">
        <f t="shared" si="8"/>
        <v>82.508749999999992</v>
      </c>
      <c r="AL23" s="113">
        <f t="shared" si="9"/>
        <v>-22.508749999999992</v>
      </c>
      <c r="AM23" s="109"/>
      <c r="AN23" s="114">
        <f t="shared" si="10"/>
        <v>-18.012915499493882</v>
      </c>
      <c r="AO23" s="110"/>
      <c r="AP23" s="112">
        <f t="shared" si="11"/>
        <v>0</v>
      </c>
      <c r="AQ23" s="113">
        <f t="shared" si="12"/>
        <v>0</v>
      </c>
      <c r="AR23" s="113">
        <f t="shared" si="13"/>
        <v>0</v>
      </c>
      <c r="AS23" s="247">
        <f t="shared" si="14"/>
        <v>0</v>
      </c>
      <c r="AT23" s="248">
        <f t="shared" si="15"/>
        <v>0</v>
      </c>
      <c r="AU23" s="107">
        <f t="shared" si="47"/>
        <v>0</v>
      </c>
      <c r="AV23" s="107">
        <f t="shared" si="16"/>
        <v>42.539955399689376</v>
      </c>
      <c r="AW23" s="107">
        <f t="shared" si="17"/>
        <v>40.464064886484842</v>
      </c>
      <c r="AX23" s="107">
        <f t="shared" si="48"/>
        <v>0</v>
      </c>
      <c r="AY23" s="107">
        <f t="shared" si="49"/>
        <v>6</v>
      </c>
      <c r="AZ23" s="107">
        <f t="shared" si="18"/>
        <v>0</v>
      </c>
      <c r="BA23" s="368">
        <f>IF(AND($W23&gt;$P$100, SUM($AR$17:AR22)&gt;0,SUM($BA$17:BA22)&lt;$P$96),$P$99,0)</f>
        <v>0</v>
      </c>
      <c r="BB23" s="107">
        <f>IF(SUM($AR$18:$AR22)&gt;0,($P$96-SUM($BA$18:$BA22))*$F$100,0)</f>
        <v>20.182500000000001</v>
      </c>
      <c r="BC23" s="108">
        <f t="shared" si="50"/>
        <v>109.18652028617421</v>
      </c>
      <c r="BD23" s="113">
        <f t="shared" si="51"/>
        <v>-109.18652028617421</v>
      </c>
      <c r="BE23" s="114">
        <f t="shared" si="19"/>
        <v>-87.377911416610502</v>
      </c>
      <c r="BF23" s="111"/>
      <c r="BG23" s="180">
        <f t="shared" si="52"/>
        <v>0.80026280888516199</v>
      </c>
      <c r="BI23" s="106">
        <f t="shared" si="20"/>
        <v>0</v>
      </c>
      <c r="BJ23" s="107">
        <f t="shared" si="21"/>
        <v>42.539955399689376</v>
      </c>
      <c r="BK23" s="107">
        <f t="shared" si="22"/>
        <v>40.464064886484842</v>
      </c>
      <c r="BL23" s="113">
        <f t="shared" si="53"/>
        <v>0</v>
      </c>
      <c r="BM23" s="113">
        <f t="shared" si="54"/>
        <v>0</v>
      </c>
      <c r="BN23" s="260">
        <f t="shared" si="23"/>
        <v>110</v>
      </c>
      <c r="BO23" s="260">
        <f t="shared" si="24"/>
        <v>50</v>
      </c>
      <c r="BP23" s="264">
        <f t="shared" si="55"/>
        <v>243.00402028617421</v>
      </c>
      <c r="BQ23" s="263">
        <f t="shared" si="25"/>
        <v>0</v>
      </c>
      <c r="BR23" s="263">
        <f t="shared" si="26"/>
        <v>0</v>
      </c>
      <c r="BS23" s="263">
        <f t="shared" si="27"/>
        <v>47.5</v>
      </c>
      <c r="BT23" s="263">
        <f t="shared" si="28"/>
        <v>29.539768784261074</v>
      </c>
      <c r="BU23" s="263">
        <f t="shared" si="29"/>
        <v>11.955368327895863</v>
      </c>
      <c r="BV23" s="263">
        <f t="shared" si="30"/>
        <v>12</v>
      </c>
      <c r="BW23" s="263">
        <f t="shared" si="31"/>
        <v>0</v>
      </c>
      <c r="BX23" s="260">
        <f t="shared" si="32"/>
        <v>0.18</v>
      </c>
      <c r="BY23" s="260">
        <f t="shared" si="56"/>
        <v>16.044825357562285</v>
      </c>
      <c r="BZ23" s="264">
        <f t="shared" si="33"/>
        <v>117.21996246971923</v>
      </c>
      <c r="CA23" s="264">
        <f t="shared" si="34"/>
        <v>137.73942614435083</v>
      </c>
      <c r="CB23" s="265"/>
      <c r="CC23" s="266">
        <f t="shared" si="35"/>
        <v>0</v>
      </c>
      <c r="CD23" s="263">
        <f t="shared" si="36"/>
        <v>-27.5</v>
      </c>
      <c r="CE23" s="263" cm="1">
        <f t="array" ref="CE23">SUM(BK23:BO23, -BS23:BX23, CC23:CD23)</f>
        <v>71.788927774327888</v>
      </c>
      <c r="CF23" s="260">
        <f t="shared" si="37"/>
        <v>-16.044825357562285</v>
      </c>
      <c r="CG23" s="261">
        <f t="shared" si="57"/>
        <v>55.7441024167656</v>
      </c>
      <c r="CH23" s="265"/>
      <c r="CI23" s="266">
        <f t="shared" si="38"/>
        <v>0</v>
      </c>
      <c r="CJ23" s="263">
        <f t="shared" si="39"/>
        <v>0</v>
      </c>
      <c r="CK23" s="263">
        <f t="shared" si="40"/>
        <v>0</v>
      </c>
      <c r="CL23" s="263">
        <f t="shared" si="58"/>
        <v>0</v>
      </c>
      <c r="CM23" s="263">
        <f t="shared" si="41"/>
        <v>-61.376027646952927</v>
      </c>
      <c r="CN23" s="263">
        <f t="shared" si="59"/>
        <v>842.38114161048077</v>
      </c>
      <c r="CO23" s="263">
        <f t="shared" si="60"/>
        <v>29.833984294220087</v>
      </c>
      <c r="CP23" s="263">
        <f t="shared" si="61"/>
        <v>-29.833984294220087</v>
      </c>
      <c r="CQ23" s="263">
        <f t="shared" si="62"/>
        <v>29.833984294220087</v>
      </c>
    </row>
    <row r="24" spans="1:95" ht="15.75" customHeight="1" x14ac:dyDescent="0.55000000000000004">
      <c r="V24" s="294">
        <f t="shared" si="42"/>
        <v>48669</v>
      </c>
      <c r="W24" s="366">
        <f t="shared" si="43"/>
        <v>7</v>
      </c>
      <c r="X24" s="366" t="str">
        <f t="shared" si="44"/>
        <v>維持管理・運営期間</v>
      </c>
      <c r="Y24" s="106">
        <f t="shared" si="0"/>
        <v>0</v>
      </c>
      <c r="Z24" s="107">
        <f t="shared" si="1"/>
        <v>0</v>
      </c>
      <c r="AA24" s="107">
        <f t="shared" si="2"/>
        <v>0</v>
      </c>
      <c r="AB24" s="260">
        <f t="shared" si="3"/>
        <v>60</v>
      </c>
      <c r="AC24" s="260">
        <f t="shared" si="4"/>
        <v>0</v>
      </c>
      <c r="AD24" s="261">
        <f t="shared" si="45"/>
        <v>60</v>
      </c>
      <c r="AE24" s="262">
        <f t="shared" si="5"/>
        <v>0</v>
      </c>
      <c r="AF24" s="263">
        <f t="shared" si="6"/>
        <v>0</v>
      </c>
      <c r="AG24" s="107">
        <f t="shared" si="7"/>
        <v>47.5</v>
      </c>
      <c r="AH24" s="107">
        <f t="shared" si="46"/>
        <v>10</v>
      </c>
      <c r="AI24" s="368">
        <f>IF(AND($W24&gt;$O$100, SUM($AA$17:AA23)&gt;0,SUM($AI$17:AI23)&lt;$O$96),$O$99,0)</f>
        <v>64.125</v>
      </c>
      <c r="AJ24" s="107">
        <f>IF(SUM($AA$18:$AA23)&gt;0,($O$96-SUM($AI$18:$AI23))*$E$100,0)</f>
        <v>25.008749999999999</v>
      </c>
      <c r="AK24" s="108">
        <f t="shared" si="8"/>
        <v>146.63374999999999</v>
      </c>
      <c r="AL24" s="113">
        <f t="shared" si="9"/>
        <v>-86.633749999999992</v>
      </c>
      <c r="AM24" s="109"/>
      <c r="AN24" s="114">
        <f t="shared" si="10"/>
        <v>-66.802367352828</v>
      </c>
      <c r="AO24" s="110"/>
      <c r="AP24" s="112">
        <f t="shared" si="11"/>
        <v>0</v>
      </c>
      <c r="AQ24" s="113">
        <f t="shared" si="12"/>
        <v>0</v>
      </c>
      <c r="AR24" s="113">
        <f t="shared" si="13"/>
        <v>0</v>
      </c>
      <c r="AS24" s="247">
        <f t="shared" si="14"/>
        <v>0</v>
      </c>
      <c r="AT24" s="248">
        <f t="shared" si="15"/>
        <v>0</v>
      </c>
      <c r="AU24" s="107">
        <f t="shared" si="47"/>
        <v>0</v>
      </c>
      <c r="AV24" s="107">
        <f t="shared" si="16"/>
        <v>44.149412072281223</v>
      </c>
      <c r="AW24" s="107">
        <f t="shared" si="17"/>
        <v>38.854608213892995</v>
      </c>
      <c r="AX24" s="107">
        <f t="shared" si="48"/>
        <v>0</v>
      </c>
      <c r="AY24" s="107">
        <f t="shared" si="49"/>
        <v>6</v>
      </c>
      <c r="AZ24" s="107">
        <f t="shared" si="18"/>
        <v>0</v>
      </c>
      <c r="BA24" s="368">
        <f>IF(AND($W24&gt;$P$100, SUM($AR$17:AR23)&gt;0,SUM($BA$17:BA23)&lt;$P$96),$P$99,0)</f>
        <v>51.75</v>
      </c>
      <c r="BB24" s="107">
        <f>IF(SUM($AR$18:$AR23)&gt;0,($P$96-SUM($BA$18:$BA23))*$F$100,0)</f>
        <v>20.182500000000001</v>
      </c>
      <c r="BC24" s="108">
        <f t="shared" si="50"/>
        <v>160.93652028617421</v>
      </c>
      <c r="BD24" s="113">
        <f t="shared" si="51"/>
        <v>-160.93652028617421</v>
      </c>
      <c r="BE24" s="114">
        <f t="shared" si="19"/>
        <v>-124.096446807888</v>
      </c>
      <c r="BF24" s="111"/>
      <c r="BG24" s="180">
        <f t="shared" si="52"/>
        <v>0.77108941206894555</v>
      </c>
      <c r="BI24" s="106">
        <f t="shared" si="20"/>
        <v>0</v>
      </c>
      <c r="BJ24" s="107">
        <f t="shared" si="21"/>
        <v>44.149412072281223</v>
      </c>
      <c r="BK24" s="107">
        <f t="shared" si="22"/>
        <v>38.854608213892995</v>
      </c>
      <c r="BL24" s="113">
        <f t="shared" si="53"/>
        <v>0</v>
      </c>
      <c r="BM24" s="113">
        <f t="shared" si="54"/>
        <v>0</v>
      </c>
      <c r="BN24" s="260">
        <f t="shared" si="23"/>
        <v>110</v>
      </c>
      <c r="BO24" s="260">
        <f t="shared" si="24"/>
        <v>50</v>
      </c>
      <c r="BP24" s="264">
        <f t="shared" si="55"/>
        <v>243.00402028617421</v>
      </c>
      <c r="BQ24" s="263">
        <f t="shared" si="25"/>
        <v>0</v>
      </c>
      <c r="BR24" s="263">
        <f t="shared" si="26"/>
        <v>0</v>
      </c>
      <c r="BS24" s="263">
        <f t="shared" si="27"/>
        <v>47.5</v>
      </c>
      <c r="BT24" s="263">
        <f t="shared" si="28"/>
        <v>28.253318801337567</v>
      </c>
      <c r="BU24" s="263">
        <f t="shared" si="29"/>
        <v>11.457691083218897</v>
      </c>
      <c r="BV24" s="263">
        <f t="shared" si="30"/>
        <v>12</v>
      </c>
      <c r="BW24" s="263">
        <f t="shared" si="31"/>
        <v>0</v>
      </c>
      <c r="BX24" s="260">
        <f t="shared" si="32"/>
        <v>0.18</v>
      </c>
      <c r="BY24" s="260">
        <f t="shared" si="56"/>
        <v>16.083864226606714</v>
      </c>
      <c r="BZ24" s="264">
        <f t="shared" si="33"/>
        <v>115.47487411116319</v>
      </c>
      <c r="CA24" s="264">
        <f t="shared" si="34"/>
        <v>138.98683725822991</v>
      </c>
      <c r="CB24" s="265"/>
      <c r="CC24" s="266">
        <f t="shared" si="35"/>
        <v>0</v>
      </c>
      <c r="CD24" s="263">
        <f t="shared" si="36"/>
        <v>-27.5</v>
      </c>
      <c r="CE24" s="263" cm="1">
        <f t="array" ref="CE24">SUM(BK24:BO24, -BS24:BX24, CC24:CD24)</f>
        <v>71.96359832933652</v>
      </c>
      <c r="CF24" s="260">
        <f t="shared" si="37"/>
        <v>-16.083864226606714</v>
      </c>
      <c r="CG24" s="261">
        <f t="shared" si="57"/>
        <v>55.879734102729806</v>
      </c>
      <c r="CH24" s="265"/>
      <c r="CI24" s="266">
        <f t="shared" si="38"/>
        <v>0</v>
      </c>
      <c r="CJ24" s="263">
        <f t="shared" si="39"/>
        <v>0</v>
      </c>
      <c r="CK24" s="263">
        <f t="shared" si="40"/>
        <v>0</v>
      </c>
      <c r="CL24" s="263">
        <f t="shared" si="58"/>
        <v>0</v>
      </c>
      <c r="CM24" s="263">
        <f t="shared" si="41"/>
        <v>-63.160154874553413</v>
      </c>
      <c r="CN24" s="263">
        <f t="shared" si="59"/>
        <v>876.91614861671826</v>
      </c>
      <c r="CO24" s="263">
        <f t="shared" si="60"/>
        <v>55.879734102729813</v>
      </c>
      <c r="CP24" s="263">
        <f t="shared" si="61"/>
        <v>-55.879734102729813</v>
      </c>
      <c r="CQ24" s="263">
        <f t="shared" si="62"/>
        <v>55.879734102729813</v>
      </c>
    </row>
    <row r="25" spans="1:95" ht="15.75" customHeight="1" x14ac:dyDescent="0.55000000000000004">
      <c r="B25" s="226" t="s">
        <v>147</v>
      </c>
      <c r="J25" s="223" t="s">
        <v>148</v>
      </c>
      <c r="N25" s="191" t="s">
        <v>25</v>
      </c>
      <c r="P25" s="121">
        <f>SUM(F26:F27)</f>
        <v>3.7833999999999993E-2</v>
      </c>
      <c r="V25" s="294">
        <f t="shared" si="42"/>
        <v>49034</v>
      </c>
      <c r="W25" s="366">
        <f t="shared" si="43"/>
        <v>8</v>
      </c>
      <c r="X25" s="366" t="str">
        <f t="shared" si="44"/>
        <v>維持管理・運営期間</v>
      </c>
      <c r="Y25" s="106">
        <f t="shared" si="0"/>
        <v>0</v>
      </c>
      <c r="Z25" s="107">
        <f t="shared" si="1"/>
        <v>0</v>
      </c>
      <c r="AA25" s="107">
        <f t="shared" si="2"/>
        <v>0</v>
      </c>
      <c r="AB25" s="260">
        <f t="shared" si="3"/>
        <v>60</v>
      </c>
      <c r="AC25" s="260">
        <f t="shared" si="4"/>
        <v>0</v>
      </c>
      <c r="AD25" s="261">
        <f t="shared" si="45"/>
        <v>60</v>
      </c>
      <c r="AE25" s="262">
        <f t="shared" si="5"/>
        <v>0</v>
      </c>
      <c r="AF25" s="263">
        <f t="shared" si="6"/>
        <v>0</v>
      </c>
      <c r="AG25" s="107">
        <f t="shared" si="7"/>
        <v>47.5</v>
      </c>
      <c r="AH25" s="107">
        <f t="shared" si="46"/>
        <v>10</v>
      </c>
      <c r="AI25" s="368">
        <f>IF(AND($W25&gt;$O$100, SUM($AA$17:AA24)&gt;0,SUM($AI$17:AI24)&lt;$O$96),$O$99,0)</f>
        <v>64.125</v>
      </c>
      <c r="AJ25" s="107">
        <f>IF(SUM($AA$18:$AA24)&gt;0,($O$96-SUM($AI$18:$AI24))*$E$100,0)</f>
        <v>23.758312499999999</v>
      </c>
      <c r="AK25" s="108">
        <f t="shared" si="8"/>
        <v>145.38331249999999</v>
      </c>
      <c r="AL25" s="113">
        <f t="shared" si="9"/>
        <v>-85.383312499999988</v>
      </c>
      <c r="AM25" s="109"/>
      <c r="AN25" s="114">
        <f t="shared" si="10"/>
        <v>-63.438052941148634</v>
      </c>
      <c r="AO25" s="110"/>
      <c r="AP25" s="112">
        <f t="shared" si="11"/>
        <v>0</v>
      </c>
      <c r="AQ25" s="113">
        <f t="shared" si="12"/>
        <v>0</v>
      </c>
      <c r="AR25" s="113">
        <f t="shared" si="13"/>
        <v>0</v>
      </c>
      <c r="AS25" s="247">
        <f t="shared" si="14"/>
        <v>0</v>
      </c>
      <c r="AT25" s="248">
        <f t="shared" si="15"/>
        <v>0</v>
      </c>
      <c r="AU25" s="107">
        <f t="shared" si="47"/>
        <v>0</v>
      </c>
      <c r="AV25" s="107">
        <f t="shared" si="16"/>
        <v>45.819760928623914</v>
      </c>
      <c r="AW25" s="107">
        <f t="shared" si="17"/>
        <v>37.18425935755031</v>
      </c>
      <c r="AX25" s="107">
        <f t="shared" si="48"/>
        <v>0</v>
      </c>
      <c r="AY25" s="107">
        <f t="shared" si="49"/>
        <v>6</v>
      </c>
      <c r="AZ25" s="107">
        <f t="shared" si="18"/>
        <v>0</v>
      </c>
      <c r="BA25" s="368">
        <f>IF(AND($W25&gt;$P$100, SUM($AR$17:AR24)&gt;0,SUM($BA$17:BA24)&lt;$P$96),$P$99,0)</f>
        <v>51.75</v>
      </c>
      <c r="BB25" s="107">
        <f>IF(SUM($AR$18:$AR24)&gt;0,($P$96-SUM($BA$18:$BA24))*$F$100,0)</f>
        <v>19.173375</v>
      </c>
      <c r="BC25" s="108">
        <f t="shared" si="50"/>
        <v>159.92739528617423</v>
      </c>
      <c r="BD25" s="113">
        <f t="shared" si="51"/>
        <v>-159.92739528617423</v>
      </c>
      <c r="BE25" s="114">
        <f t="shared" si="19"/>
        <v>-118.82278014107646</v>
      </c>
      <c r="BF25" s="111"/>
      <c r="BG25" s="180">
        <f t="shared" si="52"/>
        <v>0.74297952473029949</v>
      </c>
      <c r="BI25" s="106">
        <f t="shared" si="20"/>
        <v>0</v>
      </c>
      <c r="BJ25" s="107">
        <f t="shared" si="21"/>
        <v>45.819760928623914</v>
      </c>
      <c r="BK25" s="107">
        <f t="shared" si="22"/>
        <v>37.18425935755031</v>
      </c>
      <c r="BL25" s="113">
        <f t="shared" si="53"/>
        <v>0</v>
      </c>
      <c r="BM25" s="113">
        <f t="shared" si="54"/>
        <v>0</v>
      </c>
      <c r="BN25" s="260">
        <f t="shared" si="23"/>
        <v>110</v>
      </c>
      <c r="BO25" s="260">
        <f t="shared" si="24"/>
        <v>50</v>
      </c>
      <c r="BP25" s="264">
        <f t="shared" si="55"/>
        <v>243.00402028617424</v>
      </c>
      <c r="BQ25" s="263">
        <f t="shared" si="25"/>
        <v>0</v>
      </c>
      <c r="BR25" s="263">
        <f t="shared" si="26"/>
        <v>0</v>
      </c>
      <c r="BS25" s="263">
        <f t="shared" si="27"/>
        <v>47.5</v>
      </c>
      <c r="BT25" s="263">
        <f t="shared" si="28"/>
        <v>26.931061769589359</v>
      </c>
      <c r="BU25" s="263">
        <f t="shared" si="29"/>
        <v>10.943673103890209</v>
      </c>
      <c r="BV25" s="263">
        <f t="shared" si="30"/>
        <v>12</v>
      </c>
      <c r="BW25" s="263">
        <f t="shared" si="31"/>
        <v>0</v>
      </c>
      <c r="BX25" s="260">
        <f t="shared" si="32"/>
        <v>0.18</v>
      </c>
      <c r="BY25" s="260">
        <f t="shared" si="56"/>
        <v>16.120948722189809</v>
      </c>
      <c r="BZ25" s="264">
        <f t="shared" si="33"/>
        <v>113.67568359566938</v>
      </c>
      <c r="CA25" s="264">
        <f t="shared" si="34"/>
        <v>140.27200979439505</v>
      </c>
      <c r="CB25" s="265"/>
      <c r="CC25" s="266">
        <f t="shared" si="35"/>
        <v>0</v>
      </c>
      <c r="CD25" s="263">
        <f t="shared" si="36"/>
        <v>-27.5</v>
      </c>
      <c r="CE25" s="263" cm="1">
        <f t="array" ref="CE25">SUM(BK25:BO25, -BS25:BX25, CC25:CD25)</f>
        <v>72.129524484070728</v>
      </c>
      <c r="CF25" s="260">
        <f t="shared" si="37"/>
        <v>-16.120948722189809</v>
      </c>
      <c r="CG25" s="261">
        <f t="shared" si="57"/>
        <v>56.00857576188092</v>
      </c>
      <c r="CH25" s="265"/>
      <c r="CI25" s="266">
        <f t="shared" si="38"/>
        <v>0</v>
      </c>
      <c r="CJ25" s="263">
        <f t="shared" si="39"/>
        <v>0</v>
      </c>
      <c r="CK25" s="263">
        <f t="shared" si="40"/>
        <v>0</v>
      </c>
      <c r="CL25" s="263">
        <f t="shared" si="58"/>
        <v>0</v>
      </c>
      <c r="CM25" s="263">
        <f t="shared" si="41"/>
        <v>-64.996429885630306</v>
      </c>
      <c r="CN25" s="263">
        <f t="shared" si="59"/>
        <v>885.36832131886308</v>
      </c>
      <c r="CO25" s="263">
        <f t="shared" si="60"/>
        <v>56.00857576188092</v>
      </c>
      <c r="CP25" s="263">
        <f t="shared" si="61"/>
        <v>-56.00857576188092</v>
      </c>
      <c r="CQ25" s="263">
        <f t="shared" si="62"/>
        <v>56.00857576188092</v>
      </c>
    </row>
    <row r="26" spans="1:95" ht="15.75" customHeight="1" x14ac:dyDescent="0.45">
      <c r="C26" s="21" t="s">
        <v>149</v>
      </c>
      <c r="D26" s="191" t="s">
        <v>49</v>
      </c>
      <c r="F26" s="153">
        <v>1.7833999999999999E-2</v>
      </c>
      <c r="V26" s="294">
        <f t="shared" si="42"/>
        <v>49399</v>
      </c>
      <c r="W26" s="366">
        <f t="shared" si="43"/>
        <v>9</v>
      </c>
      <c r="X26" s="366" t="str">
        <f t="shared" si="44"/>
        <v>維持管理・運営期間</v>
      </c>
      <c r="Y26" s="106">
        <f t="shared" si="0"/>
        <v>0</v>
      </c>
      <c r="Z26" s="107">
        <f t="shared" si="1"/>
        <v>0</v>
      </c>
      <c r="AA26" s="107">
        <f t="shared" si="2"/>
        <v>0</v>
      </c>
      <c r="AB26" s="260">
        <f t="shared" si="3"/>
        <v>70</v>
      </c>
      <c r="AC26" s="260">
        <f t="shared" si="4"/>
        <v>0</v>
      </c>
      <c r="AD26" s="261">
        <f t="shared" si="45"/>
        <v>70</v>
      </c>
      <c r="AE26" s="262">
        <f t="shared" si="5"/>
        <v>0</v>
      </c>
      <c r="AF26" s="263">
        <f t="shared" si="6"/>
        <v>0</v>
      </c>
      <c r="AG26" s="107">
        <f t="shared" si="7"/>
        <v>47.5</v>
      </c>
      <c r="AH26" s="107">
        <f t="shared" si="46"/>
        <v>10</v>
      </c>
      <c r="AI26" s="368">
        <f>IF(AND($W26&gt;$O$100, SUM($AA$17:AA25)&gt;0,SUM($AI$17:AI25)&lt;$O$96),$O$99,0)</f>
        <v>64.125</v>
      </c>
      <c r="AJ26" s="107">
        <f>IF(SUM($AA$18:$AA25)&gt;0,($O$96-SUM($AI$18:$AI25))*$E$100,0)</f>
        <v>22.507874999999999</v>
      </c>
      <c r="AK26" s="108">
        <f t="shared" si="8"/>
        <v>144.13287500000001</v>
      </c>
      <c r="AL26" s="113">
        <f t="shared" si="9"/>
        <v>-74.132875000000013</v>
      </c>
      <c r="AM26" s="109"/>
      <c r="AN26" s="114">
        <f t="shared" si="10"/>
        <v>-53.071308354120909</v>
      </c>
      <c r="AO26" s="110"/>
      <c r="AP26" s="112">
        <f t="shared" si="11"/>
        <v>0</v>
      </c>
      <c r="AQ26" s="113">
        <f t="shared" si="12"/>
        <v>0</v>
      </c>
      <c r="AR26" s="113">
        <f t="shared" si="13"/>
        <v>0</v>
      </c>
      <c r="AS26" s="247">
        <f t="shared" si="14"/>
        <v>0</v>
      </c>
      <c r="AT26" s="248">
        <f t="shared" si="15"/>
        <v>0</v>
      </c>
      <c r="AU26" s="107">
        <f t="shared" si="47"/>
        <v>0</v>
      </c>
      <c r="AV26" s="107">
        <f t="shared" si="16"/>
        <v>47.553305763597464</v>
      </c>
      <c r="AW26" s="107">
        <f t="shared" si="17"/>
        <v>35.450714522576739</v>
      </c>
      <c r="AX26" s="107">
        <f t="shared" si="48"/>
        <v>0</v>
      </c>
      <c r="AY26" s="107">
        <f t="shared" si="49"/>
        <v>6</v>
      </c>
      <c r="AZ26" s="107">
        <f t="shared" si="18"/>
        <v>0</v>
      </c>
      <c r="BA26" s="368">
        <f>IF(AND($W26&gt;$P$100, SUM($AR$17:AR25)&gt;0,SUM($BA$17:BA25)&lt;$P$96),$P$99,0)</f>
        <v>51.75</v>
      </c>
      <c r="BB26" s="107">
        <f>IF(SUM($AR$18:$AR25)&gt;0,($P$96-SUM($BA$18:$BA25))*$F$100,0)</f>
        <v>18.164249999999999</v>
      </c>
      <c r="BC26" s="108">
        <f t="shared" si="50"/>
        <v>158.91827028617422</v>
      </c>
      <c r="BD26" s="113">
        <f t="shared" si="51"/>
        <v>-158.91827028617422</v>
      </c>
      <c r="BE26" s="114">
        <f t="shared" si="19"/>
        <v>-113.76869608066706</v>
      </c>
      <c r="BF26" s="111"/>
      <c r="BG26" s="180">
        <f t="shared" si="52"/>
        <v>0.71589437687558855</v>
      </c>
      <c r="BI26" s="106">
        <f t="shared" si="20"/>
        <v>0</v>
      </c>
      <c r="BJ26" s="107">
        <f t="shared" si="21"/>
        <v>47.553305763597464</v>
      </c>
      <c r="BK26" s="107">
        <f t="shared" si="22"/>
        <v>35.450714522576739</v>
      </c>
      <c r="BL26" s="113">
        <f t="shared" si="53"/>
        <v>0</v>
      </c>
      <c r="BM26" s="113">
        <f t="shared" si="54"/>
        <v>0</v>
      </c>
      <c r="BN26" s="260">
        <f t="shared" si="23"/>
        <v>110</v>
      </c>
      <c r="BO26" s="260">
        <f t="shared" si="24"/>
        <v>50</v>
      </c>
      <c r="BP26" s="264">
        <f t="shared" si="55"/>
        <v>243.00402028617421</v>
      </c>
      <c r="BQ26" s="263">
        <f t="shared" si="25"/>
        <v>0</v>
      </c>
      <c r="BR26" s="263">
        <f t="shared" si="26"/>
        <v>0</v>
      </c>
      <c r="BS26" s="263">
        <f t="shared" si="27"/>
        <v>47.5</v>
      </c>
      <c r="BT26" s="263">
        <f t="shared" si="28"/>
        <v>25.572001035619476</v>
      </c>
      <c r="BU26" s="263">
        <f t="shared" si="29"/>
        <v>10.412777858228237</v>
      </c>
      <c r="BV26" s="263">
        <f t="shared" si="30"/>
        <v>12</v>
      </c>
      <c r="BW26" s="263">
        <f t="shared" si="31"/>
        <v>0</v>
      </c>
      <c r="BX26" s="260">
        <f t="shared" si="32"/>
        <v>0.18</v>
      </c>
      <c r="BY26" s="260">
        <f t="shared" si="56"/>
        <v>16.155906613020932</v>
      </c>
      <c r="BZ26" s="264">
        <f t="shared" si="33"/>
        <v>111.82068550686866</v>
      </c>
      <c r="CA26" s="264">
        <f t="shared" si="34"/>
        <v>141.59611263753376</v>
      </c>
      <c r="CB26" s="265"/>
      <c r="CC26" s="266">
        <f t="shared" si="35"/>
        <v>0</v>
      </c>
      <c r="CD26" s="263">
        <f t="shared" si="36"/>
        <v>-27.5</v>
      </c>
      <c r="CE26" s="263" cm="1">
        <f t="array" ref="CE26">SUM(BK26:BO26, -BS26:BX26, CC26:CD26)</f>
        <v>72.285935628729007</v>
      </c>
      <c r="CF26" s="260">
        <f t="shared" si="37"/>
        <v>-16.155906613020932</v>
      </c>
      <c r="CG26" s="261">
        <f t="shared" si="57"/>
        <v>56.130029015708075</v>
      </c>
      <c r="CH26" s="265"/>
      <c r="CI26" s="266">
        <f t="shared" si="38"/>
        <v>0</v>
      </c>
      <c r="CJ26" s="263">
        <f t="shared" si="39"/>
        <v>0</v>
      </c>
      <c r="CK26" s="263">
        <f t="shared" si="40"/>
        <v>0</v>
      </c>
      <c r="CL26" s="263">
        <f t="shared" si="58"/>
        <v>0</v>
      </c>
      <c r="CM26" s="263">
        <f t="shared" si="41"/>
        <v>-66.886385865262156</v>
      </c>
      <c r="CN26" s="263">
        <f t="shared" si="59"/>
        <v>893.6566944710255</v>
      </c>
      <c r="CO26" s="263">
        <f t="shared" si="60"/>
        <v>56.130029015708075</v>
      </c>
      <c r="CP26" s="263">
        <f t="shared" si="61"/>
        <v>-56.130029015708075</v>
      </c>
      <c r="CQ26" s="263">
        <f t="shared" si="62"/>
        <v>56.130029015708075</v>
      </c>
    </row>
    <row r="27" spans="1:95" ht="15.75" customHeight="1" x14ac:dyDescent="0.45">
      <c r="C27" s="21" t="s">
        <v>58</v>
      </c>
      <c r="D27" s="191" t="s">
        <v>49</v>
      </c>
      <c r="F27" s="154">
        <f>事業費用概算!J33</f>
        <v>1.9999999999999997E-2</v>
      </c>
      <c r="V27" s="294">
        <f t="shared" si="42"/>
        <v>49765</v>
      </c>
      <c r="W27" s="366">
        <f t="shared" si="43"/>
        <v>10</v>
      </c>
      <c r="X27" s="366" t="str">
        <f t="shared" si="44"/>
        <v>維持管理・運営期間</v>
      </c>
      <c r="Y27" s="106">
        <f t="shared" si="0"/>
        <v>0</v>
      </c>
      <c r="Z27" s="107">
        <f t="shared" si="1"/>
        <v>0</v>
      </c>
      <c r="AA27" s="107">
        <f t="shared" si="2"/>
        <v>0</v>
      </c>
      <c r="AB27" s="260">
        <f t="shared" si="3"/>
        <v>70</v>
      </c>
      <c r="AC27" s="260">
        <f t="shared" si="4"/>
        <v>0</v>
      </c>
      <c r="AD27" s="261">
        <f t="shared" si="45"/>
        <v>70</v>
      </c>
      <c r="AE27" s="262">
        <f t="shared" si="5"/>
        <v>0</v>
      </c>
      <c r="AF27" s="263">
        <f t="shared" si="6"/>
        <v>0</v>
      </c>
      <c r="AG27" s="107">
        <f t="shared" si="7"/>
        <v>47.5</v>
      </c>
      <c r="AH27" s="107">
        <f t="shared" si="46"/>
        <v>10</v>
      </c>
      <c r="AI27" s="368">
        <f>IF(AND($W27&gt;$O$100, SUM($AA$17:AA26)&gt;0,SUM($AI$17:AI26)&lt;$O$96),$O$99,0)</f>
        <v>64.125</v>
      </c>
      <c r="AJ27" s="107">
        <f>IF(SUM($AA$18:$AA26)&gt;0,($O$96-SUM($AI$18:$AI26))*$E$100,0)</f>
        <v>21.257437499999998</v>
      </c>
      <c r="AK27" s="108">
        <f t="shared" si="8"/>
        <v>142.88243750000001</v>
      </c>
      <c r="AL27" s="113">
        <f t="shared" si="9"/>
        <v>-72.882437500000009</v>
      </c>
      <c r="AM27" s="109"/>
      <c r="AN27" s="114">
        <f t="shared" si="10"/>
        <v>-50.274058451772191</v>
      </c>
      <c r="AO27" s="110"/>
      <c r="AP27" s="112">
        <f t="shared" si="11"/>
        <v>0</v>
      </c>
      <c r="AQ27" s="113">
        <f t="shared" si="12"/>
        <v>0</v>
      </c>
      <c r="AR27" s="113">
        <f t="shared" si="13"/>
        <v>0</v>
      </c>
      <c r="AS27" s="247">
        <f t="shared" si="14"/>
        <v>0</v>
      </c>
      <c r="AT27" s="248">
        <f t="shared" si="15"/>
        <v>0</v>
      </c>
      <c r="AU27" s="107">
        <f t="shared" si="47"/>
        <v>0</v>
      </c>
      <c r="AV27" s="107">
        <f t="shared" si="16"/>
        <v>49.352437533857405</v>
      </c>
      <c r="AW27" s="107">
        <f t="shared" si="17"/>
        <v>33.651582752316799</v>
      </c>
      <c r="AX27" s="107">
        <f t="shared" si="48"/>
        <v>0</v>
      </c>
      <c r="AY27" s="107">
        <f t="shared" si="49"/>
        <v>6</v>
      </c>
      <c r="AZ27" s="107">
        <f t="shared" si="18"/>
        <v>0</v>
      </c>
      <c r="BA27" s="368">
        <f>IF(AND($W27&gt;$P$100, SUM($AR$17:AR26)&gt;0,SUM($BA$17:BA26)&lt;$P$96),$P$99,0)</f>
        <v>51.75</v>
      </c>
      <c r="BB27" s="107">
        <f>IF(SUM($AR$18:$AR26)&gt;0,($P$96-SUM($BA$18:$BA26))*$F$100,0)</f>
        <v>17.155125000000002</v>
      </c>
      <c r="BC27" s="108">
        <f t="shared" si="50"/>
        <v>157.90914528617421</v>
      </c>
      <c r="BD27" s="113">
        <f t="shared" si="51"/>
        <v>-157.90914528617421</v>
      </c>
      <c r="BE27" s="114">
        <f t="shared" si="19"/>
        <v>-108.9251934004884</v>
      </c>
      <c r="BF27" s="111"/>
      <c r="BG27" s="180">
        <f t="shared" si="52"/>
        <v>0.68979661186238705</v>
      </c>
      <c r="BI27" s="106">
        <f t="shared" si="20"/>
        <v>0</v>
      </c>
      <c r="BJ27" s="107">
        <f t="shared" si="21"/>
        <v>49.352437533857405</v>
      </c>
      <c r="BK27" s="107">
        <f t="shared" si="22"/>
        <v>33.651582752316799</v>
      </c>
      <c r="BL27" s="113">
        <f t="shared" si="53"/>
        <v>0</v>
      </c>
      <c r="BM27" s="113">
        <f t="shared" si="54"/>
        <v>0</v>
      </c>
      <c r="BN27" s="260">
        <f t="shared" si="23"/>
        <v>110</v>
      </c>
      <c r="BO27" s="260">
        <f t="shared" si="24"/>
        <v>50</v>
      </c>
      <c r="BP27" s="264">
        <f t="shared" si="55"/>
        <v>243.00402028617421</v>
      </c>
      <c r="BQ27" s="263">
        <f t="shared" si="25"/>
        <v>0</v>
      </c>
      <c r="BR27" s="263">
        <f t="shared" si="26"/>
        <v>0</v>
      </c>
      <c r="BS27" s="263">
        <f t="shared" si="27"/>
        <v>47.5</v>
      </c>
      <c r="BT27" s="263">
        <f t="shared" si="28"/>
        <v>24.175112205180273</v>
      </c>
      <c r="BU27" s="263">
        <f t="shared" si="29"/>
        <v>9.8644511980702063</v>
      </c>
      <c r="BV27" s="263">
        <f t="shared" si="30"/>
        <v>12</v>
      </c>
      <c r="BW27" s="263">
        <f t="shared" si="31"/>
        <v>0</v>
      </c>
      <c r="BX27" s="260">
        <f t="shared" si="32"/>
        <v>0.18</v>
      </c>
      <c r="BY27" s="260">
        <f t="shared" si="56"/>
        <v>16.188556324516327</v>
      </c>
      <c r="BZ27" s="264">
        <f t="shared" si="33"/>
        <v>109.9081197277668</v>
      </c>
      <c r="CA27" s="264">
        <f t="shared" si="34"/>
        <v>142.96035175647762</v>
      </c>
      <c r="CB27" s="265"/>
      <c r="CC27" s="266">
        <f t="shared" si="35"/>
        <v>0</v>
      </c>
      <c r="CD27" s="263">
        <f t="shared" si="36"/>
        <v>-27.5</v>
      </c>
      <c r="CE27" s="263" cm="1">
        <f t="array" ref="CE27">SUM(BK27:BO27, -BS27:BX27, CC27:CD27)</f>
        <v>72.432019349066337</v>
      </c>
      <c r="CF27" s="260">
        <f t="shared" si="37"/>
        <v>-16.188556324516327</v>
      </c>
      <c r="CG27" s="261">
        <f t="shared" si="57"/>
        <v>56.24346302455001</v>
      </c>
      <c r="CH27" s="265"/>
      <c r="CI27" s="266">
        <f t="shared" si="38"/>
        <v>0</v>
      </c>
      <c r="CJ27" s="263">
        <f t="shared" si="39"/>
        <v>0</v>
      </c>
      <c r="CK27" s="263">
        <f t="shared" si="40"/>
        <v>0</v>
      </c>
      <c r="CL27" s="263">
        <f t="shared" si="58"/>
        <v>0</v>
      </c>
      <c r="CM27" s="263">
        <f t="shared" si="41"/>
        <v>-68.831601355859391</v>
      </c>
      <c r="CN27" s="263">
        <f t="shared" si="59"/>
        <v>901.7909646578654</v>
      </c>
      <c r="CO27" s="263">
        <f t="shared" si="60"/>
        <v>56.24346302455001</v>
      </c>
      <c r="CP27" s="263">
        <f t="shared" si="61"/>
        <v>-56.24346302455001</v>
      </c>
      <c r="CQ27" s="263">
        <f t="shared" si="62"/>
        <v>56.24346302455001</v>
      </c>
    </row>
    <row r="28" spans="1:95" ht="15.75" customHeight="1" x14ac:dyDescent="0.55000000000000004">
      <c r="V28" s="294">
        <f t="shared" si="42"/>
        <v>50130</v>
      </c>
      <c r="W28" s="366">
        <f t="shared" si="43"/>
        <v>11</v>
      </c>
      <c r="X28" s="366" t="str">
        <f t="shared" si="44"/>
        <v>維持管理・運営期間</v>
      </c>
      <c r="Y28" s="106">
        <f t="shared" si="0"/>
        <v>0</v>
      </c>
      <c r="Z28" s="107">
        <f t="shared" si="1"/>
        <v>0</v>
      </c>
      <c r="AA28" s="107">
        <f t="shared" si="2"/>
        <v>0</v>
      </c>
      <c r="AB28" s="260">
        <f t="shared" si="3"/>
        <v>70</v>
      </c>
      <c r="AC28" s="260">
        <f t="shared" si="4"/>
        <v>0</v>
      </c>
      <c r="AD28" s="261">
        <f t="shared" si="45"/>
        <v>70</v>
      </c>
      <c r="AE28" s="262">
        <f t="shared" si="5"/>
        <v>0</v>
      </c>
      <c r="AF28" s="263">
        <f t="shared" si="6"/>
        <v>0</v>
      </c>
      <c r="AG28" s="107">
        <f t="shared" si="7"/>
        <v>47.5</v>
      </c>
      <c r="AH28" s="107">
        <f t="shared" si="46"/>
        <v>10</v>
      </c>
      <c r="AI28" s="368">
        <f>IF(AND($W28&gt;$O$100, SUM($AA$17:AA27)&gt;0,SUM($AI$17:AI27)&lt;$O$96),$O$99,0)</f>
        <v>64.125</v>
      </c>
      <c r="AJ28" s="107">
        <f>IF(SUM($AA$18:$AA27)&gt;0,($O$96-SUM($AI$18:$AI27))*$E$100,0)</f>
        <v>20.007000000000001</v>
      </c>
      <c r="AK28" s="108">
        <f t="shared" si="8"/>
        <v>141.63200000000001</v>
      </c>
      <c r="AL28" s="113">
        <f t="shared" si="9"/>
        <v>-71.632000000000005</v>
      </c>
      <c r="AM28" s="109"/>
      <c r="AN28" s="114">
        <f t="shared" si="10"/>
        <v>-47.610225624643746</v>
      </c>
      <c r="AO28" s="110"/>
      <c r="AP28" s="112">
        <f t="shared" si="11"/>
        <v>0</v>
      </c>
      <c r="AQ28" s="113">
        <f t="shared" si="12"/>
        <v>0</v>
      </c>
      <c r="AR28" s="113">
        <f t="shared" si="13"/>
        <v>0</v>
      </c>
      <c r="AS28" s="247">
        <f t="shared" si="14"/>
        <v>0</v>
      </c>
      <c r="AT28" s="248">
        <f t="shared" si="15"/>
        <v>0</v>
      </c>
      <c r="AU28" s="107">
        <f t="shared" si="47"/>
        <v>0</v>
      </c>
      <c r="AV28" s="107">
        <f t="shared" si="16"/>
        <v>51.219637655513381</v>
      </c>
      <c r="AW28" s="107">
        <f t="shared" si="17"/>
        <v>31.784382630660843</v>
      </c>
      <c r="AX28" s="107">
        <f t="shared" si="48"/>
        <v>0</v>
      </c>
      <c r="AY28" s="107">
        <f t="shared" si="49"/>
        <v>6</v>
      </c>
      <c r="AZ28" s="107">
        <f t="shared" si="18"/>
        <v>0</v>
      </c>
      <c r="BA28" s="368">
        <f>IF(AND($W28&gt;$P$100, SUM($AR$17:AR27)&gt;0,SUM($BA$17:BA27)&lt;$P$96),$P$99,0)</f>
        <v>51.75</v>
      </c>
      <c r="BB28" s="107">
        <f>IF(SUM($AR$18:$AR27)&gt;0,($P$96-SUM($BA$18:$BA27))*$F$100,0)</f>
        <v>16.146000000000001</v>
      </c>
      <c r="BC28" s="108">
        <f t="shared" ref="BC28:BC47" si="63">SUM(AU28:BB28)</f>
        <v>156.90002028617425</v>
      </c>
      <c r="BD28" s="113">
        <f t="shared" ref="BD28:BD47" si="64">AT28-BC28</f>
        <v>-156.90002028617425</v>
      </c>
      <c r="BE28" s="114">
        <f t="shared" ref="BE28:BE47" si="65">BD28*$BG28</f>
        <v>-104.28363533526827</v>
      </c>
      <c r="BF28" s="111"/>
      <c r="BG28" s="180">
        <f t="shared" si="52"/>
        <v>0.66465023487608532</v>
      </c>
      <c r="BI28" s="106">
        <f t="shared" si="20"/>
        <v>0</v>
      </c>
      <c r="BJ28" s="107">
        <f t="shared" si="21"/>
        <v>51.219637655513381</v>
      </c>
      <c r="BK28" s="107">
        <f t="shared" si="22"/>
        <v>31.784382630660843</v>
      </c>
      <c r="BL28" s="113">
        <f t="shared" ref="BL28:BL47" si="66">AX28</f>
        <v>0</v>
      </c>
      <c r="BM28" s="113">
        <f t="shared" ref="BM28:BM47" si="67">AZ28</f>
        <v>0</v>
      </c>
      <c r="BN28" s="260">
        <f t="shared" si="23"/>
        <v>110</v>
      </c>
      <c r="BO28" s="260">
        <f t="shared" si="24"/>
        <v>50</v>
      </c>
      <c r="BP28" s="264">
        <f t="shared" si="55"/>
        <v>243.00402028617424</v>
      </c>
      <c r="BQ28" s="263">
        <f t="shared" si="25"/>
        <v>0</v>
      </c>
      <c r="BR28" s="263">
        <f t="shared" si="26"/>
        <v>0</v>
      </c>
      <c r="BS28" s="263">
        <f t="shared" si="27"/>
        <v>47.5</v>
      </c>
      <c r="BT28" s="263">
        <f t="shared" si="28"/>
        <v>22.739342371034628</v>
      </c>
      <c r="BU28" s="263">
        <f t="shared" si="29"/>
        <v>9.2981207803525461</v>
      </c>
      <c r="BV28" s="263">
        <f t="shared" si="30"/>
        <v>12</v>
      </c>
      <c r="BW28" s="263">
        <f t="shared" si="31"/>
        <v>0</v>
      </c>
      <c r="BX28" s="260">
        <f t="shared" si="32"/>
        <v>0.18</v>
      </c>
      <c r="BY28" s="260">
        <f t="shared" si="56"/>
        <v>16.218706503617664</v>
      </c>
      <c r="BZ28" s="264">
        <f t="shared" si="33"/>
        <v>107.93616965500485</v>
      </c>
      <c r="CA28" s="264">
        <f t="shared" si="34"/>
        <v>144.36597141152194</v>
      </c>
      <c r="CB28" s="265"/>
      <c r="CC28" s="266">
        <f t="shared" si="35"/>
        <v>0</v>
      </c>
      <c r="CD28" s="263">
        <f t="shared" si="36"/>
        <v>-27.5</v>
      </c>
      <c r="CE28" s="263" cm="1">
        <f t="array" ref="CE28">SUM(BK28:BO28, -BS28:BX28, CC28:CD28)</f>
        <v>72.566919479273665</v>
      </c>
      <c r="CF28" s="260">
        <f t="shared" si="37"/>
        <v>-16.218706503617664</v>
      </c>
      <c r="CG28" s="261">
        <f t="shared" si="57"/>
        <v>56.348212975655997</v>
      </c>
      <c r="CH28" s="265"/>
      <c r="CI28" s="266">
        <f t="shared" si="38"/>
        <v>0</v>
      </c>
      <c r="CJ28" s="263">
        <f t="shared" si="39"/>
        <v>0</v>
      </c>
      <c r="CK28" s="263">
        <f t="shared" si="40"/>
        <v>0</v>
      </c>
      <c r="CL28" s="263">
        <f t="shared" si="58"/>
        <v>0</v>
      </c>
      <c r="CM28" s="263">
        <f t="shared" si="41"/>
        <v>-70.833701607722702</v>
      </c>
      <c r="CN28" s="263">
        <f t="shared" si="59"/>
        <v>909.78165065676205</v>
      </c>
      <c r="CO28" s="263">
        <f t="shared" si="60"/>
        <v>56.348212975655997</v>
      </c>
      <c r="CP28" s="263">
        <f t="shared" si="61"/>
        <v>-56.348212975655997</v>
      </c>
      <c r="CQ28" s="263">
        <f t="shared" si="62"/>
        <v>56.348212975655997</v>
      </c>
    </row>
    <row r="29" spans="1:95" ht="15.75" customHeight="1" thickBot="1" x14ac:dyDescent="0.6">
      <c r="A29" s="210" t="s">
        <v>17</v>
      </c>
      <c r="B29" s="225"/>
      <c r="C29" s="202"/>
      <c r="D29" s="203"/>
      <c r="E29" s="202"/>
      <c r="F29" s="202"/>
      <c r="G29" s="202"/>
      <c r="H29" s="204"/>
      <c r="I29" s="219" t="s">
        <v>150</v>
      </c>
      <c r="J29" s="225"/>
      <c r="K29" s="202"/>
      <c r="L29" s="202"/>
      <c r="M29" s="202"/>
      <c r="N29" s="203"/>
      <c r="O29" s="202"/>
      <c r="P29" s="202"/>
      <c r="Q29" s="202"/>
      <c r="R29" s="202"/>
      <c r="S29" s="202"/>
      <c r="T29" s="203"/>
      <c r="U29" s="202"/>
      <c r="V29" s="294">
        <f t="shared" si="42"/>
        <v>50495</v>
      </c>
      <c r="W29" s="366">
        <f t="shared" si="43"/>
        <v>12</v>
      </c>
      <c r="X29" s="366" t="str">
        <f t="shared" si="44"/>
        <v>維持管理・運営期間</v>
      </c>
      <c r="Y29" s="106">
        <f t="shared" si="0"/>
        <v>0</v>
      </c>
      <c r="Z29" s="107">
        <f t="shared" si="1"/>
        <v>0</v>
      </c>
      <c r="AA29" s="107">
        <f t="shared" si="2"/>
        <v>0</v>
      </c>
      <c r="AB29" s="260">
        <f t="shared" si="3"/>
        <v>70</v>
      </c>
      <c r="AC29" s="260">
        <f t="shared" si="4"/>
        <v>0</v>
      </c>
      <c r="AD29" s="261">
        <f t="shared" si="45"/>
        <v>70</v>
      </c>
      <c r="AE29" s="262">
        <f t="shared" si="5"/>
        <v>0</v>
      </c>
      <c r="AF29" s="263">
        <f t="shared" si="6"/>
        <v>0</v>
      </c>
      <c r="AG29" s="107">
        <f t="shared" si="7"/>
        <v>47.5</v>
      </c>
      <c r="AH29" s="107">
        <f t="shared" si="46"/>
        <v>10</v>
      </c>
      <c r="AI29" s="368">
        <f>IF(AND($W29&gt;$O$100, SUM($AA$17:AA28)&gt;0,SUM($AI$17:AI28)&lt;$O$96),$O$99,0)</f>
        <v>64.125</v>
      </c>
      <c r="AJ29" s="107">
        <f>IF(SUM($AA$18:$AA28)&gt;0,($O$96-SUM($AI$18:$AI28))*$E$100,0)</f>
        <v>18.756562500000001</v>
      </c>
      <c r="AK29" s="108">
        <f t="shared" si="8"/>
        <v>140.3815625</v>
      </c>
      <c r="AL29" s="113">
        <f t="shared" si="9"/>
        <v>-70.381562500000001</v>
      </c>
      <c r="AM29" s="109"/>
      <c r="AN29" s="114">
        <f t="shared" si="10"/>
        <v>-45.073799901112203</v>
      </c>
      <c r="AO29" s="110"/>
      <c r="AP29" s="112">
        <f t="shared" si="11"/>
        <v>0</v>
      </c>
      <c r="AQ29" s="113">
        <f t="shared" si="12"/>
        <v>0</v>
      </c>
      <c r="AR29" s="113">
        <f t="shared" si="13"/>
        <v>0</v>
      </c>
      <c r="AS29" s="247">
        <f t="shared" si="14"/>
        <v>0</v>
      </c>
      <c r="AT29" s="248">
        <f t="shared" si="15"/>
        <v>0</v>
      </c>
      <c r="AU29" s="107">
        <f t="shared" si="47"/>
        <v>0</v>
      </c>
      <c r="AV29" s="107">
        <f t="shared" si="16"/>
        <v>53.157481426572069</v>
      </c>
      <c r="AW29" s="107">
        <f t="shared" si="17"/>
        <v>29.846538859602145</v>
      </c>
      <c r="AX29" s="107">
        <f t="shared" si="48"/>
        <v>0</v>
      </c>
      <c r="AY29" s="107">
        <f t="shared" si="49"/>
        <v>6</v>
      </c>
      <c r="AZ29" s="107">
        <f t="shared" si="18"/>
        <v>0</v>
      </c>
      <c r="BA29" s="368">
        <f>IF(AND($W29&gt;$P$100, SUM($AR$17:AR28)&gt;0,SUM($BA$17:BA28)&lt;$P$96),$P$99,0)</f>
        <v>51.75</v>
      </c>
      <c r="BB29" s="107">
        <f>IF(SUM($AR$18:$AR28)&gt;0,($P$96-SUM($BA$18:$BA28))*$F$100,0)</f>
        <v>15.136875</v>
      </c>
      <c r="BC29" s="108">
        <f t="shared" si="63"/>
        <v>155.89089528617421</v>
      </c>
      <c r="BD29" s="113">
        <f t="shared" si="64"/>
        <v>-155.89089528617421</v>
      </c>
      <c r="BE29" s="114">
        <f t="shared" si="65"/>
        <v>-99.835734970138688</v>
      </c>
      <c r="BF29" s="111"/>
      <c r="BG29" s="180">
        <f t="shared" si="52"/>
        <v>0.64042056328476937</v>
      </c>
      <c r="BI29" s="106">
        <f t="shared" si="20"/>
        <v>0</v>
      </c>
      <c r="BJ29" s="107">
        <f t="shared" si="21"/>
        <v>53.157481426572069</v>
      </c>
      <c r="BK29" s="107">
        <f t="shared" si="22"/>
        <v>29.846538859602145</v>
      </c>
      <c r="BL29" s="113">
        <f t="shared" si="66"/>
        <v>0</v>
      </c>
      <c r="BM29" s="113">
        <f t="shared" si="67"/>
        <v>0</v>
      </c>
      <c r="BN29" s="260">
        <f t="shared" si="23"/>
        <v>110</v>
      </c>
      <c r="BO29" s="260">
        <f t="shared" si="24"/>
        <v>50</v>
      </c>
      <c r="BP29" s="264">
        <f t="shared" si="55"/>
        <v>243.00402028617421</v>
      </c>
      <c r="BQ29" s="263">
        <f t="shared" si="25"/>
        <v>0</v>
      </c>
      <c r="BR29" s="263">
        <f t="shared" si="26"/>
        <v>0</v>
      </c>
      <c r="BS29" s="263">
        <f t="shared" si="27"/>
        <v>47.5</v>
      </c>
      <c r="BT29" s="263">
        <f t="shared" si="28"/>
        <v>21.263609319325372</v>
      </c>
      <c r="BU29" s="263">
        <f t="shared" si="29"/>
        <v>8.7131954696995404</v>
      </c>
      <c r="BV29" s="263">
        <f t="shared" si="30"/>
        <v>12</v>
      </c>
      <c r="BW29" s="263">
        <f t="shared" si="31"/>
        <v>0</v>
      </c>
      <c r="BX29" s="260">
        <f t="shared" si="32"/>
        <v>0.18</v>
      </c>
      <c r="BY29" s="260">
        <f t="shared" si="56"/>
        <v>16.246155564774007</v>
      </c>
      <c r="BZ29" s="264">
        <f t="shared" si="33"/>
        <v>105.90296035379893</v>
      </c>
      <c r="CA29" s="264">
        <f t="shared" si="34"/>
        <v>145.81425540207482</v>
      </c>
      <c r="CB29" s="265"/>
      <c r="CC29" s="266">
        <f t="shared" si="35"/>
        <v>0</v>
      </c>
      <c r="CD29" s="263">
        <f t="shared" si="36"/>
        <v>-27.5</v>
      </c>
      <c r="CE29" s="263" cm="1">
        <f t="array" ref="CE29">SUM(BK29:BO29, -BS29:BX29, CC29:CD29)</f>
        <v>72.689734070577217</v>
      </c>
      <c r="CF29" s="260">
        <f t="shared" si="37"/>
        <v>-16.246155564774007</v>
      </c>
      <c r="CG29" s="261">
        <f t="shared" si="57"/>
        <v>56.44357850580321</v>
      </c>
      <c r="CH29" s="265"/>
      <c r="CI29" s="266">
        <f t="shared" si="38"/>
        <v>0</v>
      </c>
      <c r="CJ29" s="263">
        <f t="shared" si="39"/>
        <v>0</v>
      </c>
      <c r="CK29" s="263">
        <f t="shared" si="40"/>
        <v>0</v>
      </c>
      <c r="CL29" s="263">
        <f t="shared" si="58"/>
        <v>0</v>
      </c>
      <c r="CM29" s="263">
        <f t="shared" si="41"/>
        <v>-72.894359970084963</v>
      </c>
      <c r="CN29" s="263">
        <f t="shared" si="59"/>
        <v>917.64013764339643</v>
      </c>
      <c r="CO29" s="263">
        <f t="shared" si="60"/>
        <v>56.443578505803202</v>
      </c>
      <c r="CP29" s="263">
        <f t="shared" si="61"/>
        <v>-56.443578505803202</v>
      </c>
      <c r="CQ29" s="263">
        <f t="shared" si="62"/>
        <v>56.443578505803202</v>
      </c>
    </row>
    <row r="30" spans="1:95" ht="15.75" customHeight="1" x14ac:dyDescent="0.55000000000000004">
      <c r="C30" s="119"/>
      <c r="V30" s="294">
        <f t="shared" si="42"/>
        <v>50860</v>
      </c>
      <c r="W30" s="366">
        <f t="shared" si="43"/>
        <v>13</v>
      </c>
      <c r="X30" s="366" t="str">
        <f t="shared" si="44"/>
        <v>維持管理・運営期間</v>
      </c>
      <c r="Y30" s="106">
        <f t="shared" si="0"/>
        <v>0</v>
      </c>
      <c r="Z30" s="107">
        <f t="shared" si="1"/>
        <v>0</v>
      </c>
      <c r="AA30" s="107">
        <f t="shared" si="2"/>
        <v>0</v>
      </c>
      <c r="AB30" s="260">
        <f t="shared" si="3"/>
        <v>70</v>
      </c>
      <c r="AC30" s="260">
        <f t="shared" si="4"/>
        <v>0</v>
      </c>
      <c r="AD30" s="261">
        <f t="shared" si="45"/>
        <v>70</v>
      </c>
      <c r="AE30" s="262">
        <f t="shared" si="5"/>
        <v>0</v>
      </c>
      <c r="AF30" s="263">
        <f t="shared" si="6"/>
        <v>0</v>
      </c>
      <c r="AG30" s="107">
        <f t="shared" si="7"/>
        <v>47.5</v>
      </c>
      <c r="AH30" s="107">
        <f t="shared" si="46"/>
        <v>10</v>
      </c>
      <c r="AI30" s="368">
        <f>IF(AND($W30&gt;$O$100, SUM($AA$17:AA29)&gt;0,SUM($AI$17:AI29)&lt;$O$96),$O$99,0)</f>
        <v>64.125</v>
      </c>
      <c r="AJ30" s="107">
        <f>IF(SUM($AA$18:$AA29)&gt;0,($O$96-SUM($AI$18:$AI29))*$E$100,0)</f>
        <v>17.506125000000001</v>
      </c>
      <c r="AK30" s="108">
        <f t="shared" si="8"/>
        <v>139.131125</v>
      </c>
      <c r="AL30" s="113">
        <f t="shared" si="9"/>
        <v>-69.131124999999997</v>
      </c>
      <c r="AM30" s="109"/>
      <c r="AN30" s="114">
        <f t="shared" si="10"/>
        <v>-42.65903218916494</v>
      </c>
      <c r="AO30" s="110"/>
      <c r="AP30" s="112">
        <f t="shared" si="11"/>
        <v>0</v>
      </c>
      <c r="AQ30" s="113">
        <f t="shared" si="12"/>
        <v>0</v>
      </c>
      <c r="AR30" s="113">
        <f t="shared" si="13"/>
        <v>0</v>
      </c>
      <c r="AS30" s="247">
        <f t="shared" si="14"/>
        <v>0</v>
      </c>
      <c r="AT30" s="248">
        <f t="shared" si="15"/>
        <v>0</v>
      </c>
      <c r="AU30" s="107">
        <f t="shared" si="47"/>
        <v>0</v>
      </c>
      <c r="AV30" s="107">
        <f t="shared" si="16"/>
        <v>55.168641578864992</v>
      </c>
      <c r="AW30" s="107">
        <f t="shared" si="17"/>
        <v>27.835378707309221</v>
      </c>
      <c r="AX30" s="107">
        <f t="shared" si="48"/>
        <v>0</v>
      </c>
      <c r="AY30" s="107">
        <f t="shared" si="49"/>
        <v>6</v>
      </c>
      <c r="AZ30" s="107">
        <f t="shared" si="18"/>
        <v>0</v>
      </c>
      <c r="BA30" s="368">
        <f>IF(AND($W30&gt;$P$100, SUM($AR$17:AR29)&gt;0,SUM($BA$17:BA29)&lt;$P$96),$P$99,0)</f>
        <v>51.75</v>
      </c>
      <c r="BB30" s="107">
        <f>IF(SUM($AR$18:$AR29)&gt;0,($P$96-SUM($BA$18:$BA29))*$F$100,0)</f>
        <v>14.127750000000001</v>
      </c>
      <c r="BC30" s="108">
        <f t="shared" si="63"/>
        <v>154.8817702861742</v>
      </c>
      <c r="BD30" s="113">
        <f t="shared" si="64"/>
        <v>-154.8817702861742</v>
      </c>
      <c r="BE30" s="114">
        <f t="shared" si="65"/>
        <v>-95.573541211035632</v>
      </c>
      <c r="BF30" s="111"/>
      <c r="BG30" s="180">
        <f t="shared" si="52"/>
        <v>0.61707417880390258</v>
      </c>
      <c r="BI30" s="106">
        <f t="shared" si="20"/>
        <v>0</v>
      </c>
      <c r="BJ30" s="107">
        <f t="shared" si="21"/>
        <v>55.168641578864992</v>
      </c>
      <c r="BK30" s="107">
        <f t="shared" si="22"/>
        <v>27.835378707309221</v>
      </c>
      <c r="BL30" s="113">
        <f t="shared" si="66"/>
        <v>0</v>
      </c>
      <c r="BM30" s="113">
        <f t="shared" si="67"/>
        <v>0</v>
      </c>
      <c r="BN30" s="260">
        <f t="shared" si="23"/>
        <v>110</v>
      </c>
      <c r="BO30" s="260">
        <f t="shared" si="24"/>
        <v>50</v>
      </c>
      <c r="BP30" s="264">
        <f t="shared" si="55"/>
        <v>243.00402028617421</v>
      </c>
      <c r="BQ30" s="263">
        <f t="shared" si="25"/>
        <v>0</v>
      </c>
      <c r="BR30" s="263">
        <f t="shared" si="26"/>
        <v>0</v>
      </c>
      <c r="BS30" s="263">
        <f t="shared" si="27"/>
        <v>47.5</v>
      </c>
      <c r="BT30" s="263">
        <f t="shared" si="28"/>
        <v>19.746800713854832</v>
      </c>
      <c r="BU30" s="263">
        <f t="shared" si="29"/>
        <v>8.1090647213965568</v>
      </c>
      <c r="BV30" s="263">
        <f t="shared" si="30"/>
        <v>12</v>
      </c>
      <c r="BW30" s="263">
        <f t="shared" si="31"/>
        <v>0</v>
      </c>
      <c r="BX30" s="260">
        <f t="shared" si="32"/>
        <v>0.18</v>
      </c>
      <c r="BY30" s="260">
        <f t="shared" si="56"/>
        <v>16.270691216304925</v>
      </c>
      <c r="BZ30" s="264">
        <f t="shared" si="33"/>
        <v>103.80655665155632</v>
      </c>
      <c r="CA30" s="264">
        <f t="shared" si="34"/>
        <v>147.30652835601444</v>
      </c>
      <c r="CB30" s="265"/>
      <c r="CC30" s="266">
        <f t="shared" si="35"/>
        <v>0</v>
      </c>
      <c r="CD30" s="263">
        <f t="shared" si="36"/>
        <v>-27.5</v>
      </c>
      <c r="CE30" s="263" cm="1">
        <f t="array" ref="CE30">SUM(BK30:BO30, -BS30:BX30, CC30:CD30)</f>
        <v>72.799513272057823</v>
      </c>
      <c r="CF30" s="260">
        <f t="shared" si="37"/>
        <v>-16.270691216304925</v>
      </c>
      <c r="CG30" s="261">
        <f t="shared" si="57"/>
        <v>56.528822055752897</v>
      </c>
      <c r="CH30" s="265"/>
      <c r="CI30" s="266">
        <f t="shared" si="38"/>
        <v>0</v>
      </c>
      <c r="CJ30" s="263">
        <f t="shared" si="39"/>
        <v>0</v>
      </c>
      <c r="CK30" s="263">
        <f t="shared" si="40"/>
        <v>0</v>
      </c>
      <c r="CL30" s="263">
        <f t="shared" si="58"/>
        <v>0</v>
      </c>
      <c r="CM30" s="263">
        <f t="shared" si="41"/>
        <v>-75.015299323858486</v>
      </c>
      <c r="CN30" s="263">
        <f t="shared" si="59"/>
        <v>925.37872344835273</v>
      </c>
      <c r="CO30" s="263">
        <f t="shared" si="60"/>
        <v>56.528822055752897</v>
      </c>
      <c r="CP30" s="263">
        <f t="shared" si="61"/>
        <v>-56.528822055752897</v>
      </c>
      <c r="CQ30" s="263">
        <f t="shared" si="62"/>
        <v>56.528822055752897</v>
      </c>
    </row>
    <row r="31" spans="1:95" ht="15.75" customHeight="1" x14ac:dyDescent="0.55000000000000004">
      <c r="B31" s="223" t="s">
        <v>151</v>
      </c>
      <c r="E31" s="21" t="s">
        <v>55</v>
      </c>
      <c r="F31" s="21" t="s">
        <v>152</v>
      </c>
      <c r="J31" s="223" t="s">
        <v>151</v>
      </c>
      <c r="O31" s="21" t="s">
        <v>55</v>
      </c>
      <c r="P31" s="21" t="s">
        <v>98</v>
      </c>
      <c r="V31" s="294">
        <f t="shared" si="42"/>
        <v>51226</v>
      </c>
      <c r="W31" s="366">
        <f t="shared" si="43"/>
        <v>14</v>
      </c>
      <c r="X31" s="366" t="str">
        <f t="shared" si="44"/>
        <v>維持管理・運営期間</v>
      </c>
      <c r="Y31" s="106">
        <f t="shared" si="0"/>
        <v>0</v>
      </c>
      <c r="Z31" s="107">
        <f t="shared" si="1"/>
        <v>0</v>
      </c>
      <c r="AA31" s="107">
        <f t="shared" si="2"/>
        <v>0</v>
      </c>
      <c r="AB31" s="260">
        <f t="shared" si="3"/>
        <v>70</v>
      </c>
      <c r="AC31" s="260">
        <f t="shared" si="4"/>
        <v>0</v>
      </c>
      <c r="AD31" s="261">
        <f t="shared" si="45"/>
        <v>70</v>
      </c>
      <c r="AE31" s="262">
        <f t="shared" si="5"/>
        <v>0</v>
      </c>
      <c r="AF31" s="263">
        <f t="shared" si="6"/>
        <v>0</v>
      </c>
      <c r="AG31" s="107">
        <f t="shared" si="7"/>
        <v>47.5</v>
      </c>
      <c r="AH31" s="107">
        <f t="shared" si="46"/>
        <v>10</v>
      </c>
      <c r="AI31" s="368">
        <f>IF(AND($W31&gt;$O$100, SUM($AA$17:AA30)&gt;0,SUM($AI$17:AI30)&lt;$O$96),$O$99,0)</f>
        <v>64.125</v>
      </c>
      <c r="AJ31" s="107">
        <f>IF(SUM($AA$18:$AA30)&gt;0,($O$96-SUM($AI$18:$AI30))*$E$100,0)</f>
        <v>16.255687500000001</v>
      </c>
      <c r="AK31" s="108">
        <f t="shared" si="8"/>
        <v>137.88068749999999</v>
      </c>
      <c r="AL31" s="113">
        <f t="shared" si="9"/>
        <v>-67.880687499999993</v>
      </c>
      <c r="AM31" s="109"/>
      <c r="AN31" s="114">
        <f t="shared" si="10"/>
        <v>-40.360423242740971</v>
      </c>
      <c r="AO31" s="110"/>
      <c r="AP31" s="112">
        <f t="shared" si="11"/>
        <v>0</v>
      </c>
      <c r="AQ31" s="113">
        <f t="shared" si="12"/>
        <v>0</v>
      </c>
      <c r="AR31" s="113">
        <f t="shared" si="13"/>
        <v>0</v>
      </c>
      <c r="AS31" s="247">
        <f t="shared" si="14"/>
        <v>0</v>
      </c>
      <c r="AT31" s="248">
        <f t="shared" si="15"/>
        <v>0</v>
      </c>
      <c r="AU31" s="107">
        <f t="shared" si="47"/>
        <v>0</v>
      </c>
      <c r="AV31" s="107">
        <f t="shared" si="16"/>
        <v>57.255891964359769</v>
      </c>
      <c r="AW31" s="107">
        <f t="shared" si="17"/>
        <v>25.748128321814438</v>
      </c>
      <c r="AX31" s="107">
        <f t="shared" si="48"/>
        <v>0</v>
      </c>
      <c r="AY31" s="107">
        <f t="shared" si="49"/>
        <v>6</v>
      </c>
      <c r="AZ31" s="107">
        <f t="shared" si="18"/>
        <v>0</v>
      </c>
      <c r="BA31" s="368">
        <f>IF(AND($W31&gt;$P$100, SUM($AR$17:AR30)&gt;0,SUM($BA$17:BA30)&lt;$P$96),$P$99,0)</f>
        <v>51.75</v>
      </c>
      <c r="BB31" s="107">
        <f>IF(SUM($AR$18:$AR30)&gt;0,($P$96-SUM($BA$18:$BA30))*$F$100,0)</f>
        <v>13.118625</v>
      </c>
      <c r="BC31" s="108">
        <f t="shared" si="63"/>
        <v>153.87264528617422</v>
      </c>
      <c r="BD31" s="113">
        <f t="shared" si="64"/>
        <v>-153.87264528617422</v>
      </c>
      <c r="BE31" s="114">
        <f t="shared" si="65"/>
        <v>-91.489425313055989</v>
      </c>
      <c r="BF31" s="111"/>
      <c r="BG31" s="180">
        <f t="shared" si="52"/>
        <v>0.59457888140483217</v>
      </c>
      <c r="BI31" s="106">
        <f t="shared" si="20"/>
        <v>0</v>
      </c>
      <c r="BJ31" s="107">
        <f t="shared" si="21"/>
        <v>57.255891964359769</v>
      </c>
      <c r="BK31" s="107">
        <f t="shared" si="22"/>
        <v>25.748128321814438</v>
      </c>
      <c r="BL31" s="113">
        <f t="shared" si="66"/>
        <v>0</v>
      </c>
      <c r="BM31" s="113">
        <f t="shared" si="67"/>
        <v>0</v>
      </c>
      <c r="BN31" s="260">
        <f t="shared" si="23"/>
        <v>110</v>
      </c>
      <c r="BO31" s="260">
        <f t="shared" si="24"/>
        <v>50</v>
      </c>
      <c r="BP31" s="264">
        <f t="shared" si="55"/>
        <v>243.00402028617421</v>
      </c>
      <c r="BQ31" s="263">
        <f t="shared" si="25"/>
        <v>0</v>
      </c>
      <c r="BR31" s="263">
        <f t="shared" si="26"/>
        <v>0</v>
      </c>
      <c r="BS31" s="263">
        <f t="shared" si="27"/>
        <v>47.5</v>
      </c>
      <c r="BT31" s="263">
        <f t="shared" si="28"/>
        <v>18.187773257659632</v>
      </c>
      <c r="BU31" s="263">
        <f t="shared" si="29"/>
        <v>7.4850979441037913</v>
      </c>
      <c r="BV31" s="263">
        <f t="shared" si="30"/>
        <v>12</v>
      </c>
      <c r="BW31" s="263">
        <f t="shared" si="31"/>
        <v>0</v>
      </c>
      <c r="BX31" s="260">
        <f t="shared" si="32"/>
        <v>0.18</v>
      </c>
      <c r="BY31" s="260">
        <f t="shared" si="56"/>
        <v>16.292089966331407</v>
      </c>
      <c r="BZ31" s="264">
        <f t="shared" si="33"/>
        <v>101.64496116809482</v>
      </c>
      <c r="CA31" s="264">
        <f t="shared" si="34"/>
        <v>148.84415706218317</v>
      </c>
      <c r="CB31" s="265"/>
      <c r="CC31" s="266">
        <f t="shared" si="35"/>
        <v>0</v>
      </c>
      <c r="CD31" s="263">
        <f t="shared" si="36"/>
        <v>-27.5</v>
      </c>
      <c r="CE31" s="263" cm="1">
        <f t="array" ref="CE31">SUM(BK31:BO31, -BS31:BX31, CC31:CD31)</f>
        <v>72.895257120051028</v>
      </c>
      <c r="CF31" s="260">
        <f t="shared" si="37"/>
        <v>-16.292089966331407</v>
      </c>
      <c r="CG31" s="261">
        <f t="shared" si="57"/>
        <v>56.603167153719625</v>
      </c>
      <c r="CH31" s="265"/>
      <c r="CI31" s="266">
        <f t="shared" si="38"/>
        <v>0</v>
      </c>
      <c r="CJ31" s="263">
        <f t="shared" si="39"/>
        <v>0</v>
      </c>
      <c r="CK31" s="263">
        <f t="shared" si="40"/>
        <v>0</v>
      </c>
      <c r="CL31" s="263">
        <f t="shared" si="58"/>
        <v>0</v>
      </c>
      <c r="CM31" s="263">
        <f t="shared" si="41"/>
        <v>-77.19829355734646</v>
      </c>
      <c r="CN31" s="263">
        <f t="shared" si="59"/>
        <v>933.01066695333282</v>
      </c>
      <c r="CO31" s="263">
        <f t="shared" si="60"/>
        <v>56.603167153719625</v>
      </c>
      <c r="CP31" s="263">
        <f t="shared" si="61"/>
        <v>-56.603167153719625</v>
      </c>
      <c r="CQ31" s="263">
        <f t="shared" si="62"/>
        <v>56.603167153719625</v>
      </c>
    </row>
    <row r="32" spans="1:95" ht="15.75" customHeight="1" x14ac:dyDescent="0.45">
      <c r="C32" s="119" t="s">
        <v>153</v>
      </c>
      <c r="D32" s="191" t="s">
        <v>21</v>
      </c>
      <c r="E32" s="155">
        <f>事業費用概算!G6</f>
        <v>0</v>
      </c>
      <c r="F32" s="178">
        <f>E32</f>
        <v>0</v>
      </c>
      <c r="K32" s="21" t="s">
        <v>154</v>
      </c>
      <c r="N32" s="191" t="s">
        <v>21</v>
      </c>
      <c r="O32" s="168">
        <f>E33*$F$65+E32</f>
        <v>2850</v>
      </c>
      <c r="P32" s="168">
        <f>SUM(F32:F33)*(1-F66)</f>
        <v>2850</v>
      </c>
      <c r="Q32" s="21" t="s">
        <v>155</v>
      </c>
      <c r="V32" s="294">
        <f t="shared" si="42"/>
        <v>51591</v>
      </c>
      <c r="W32" s="366">
        <f t="shared" si="43"/>
        <v>15</v>
      </c>
      <c r="X32" s="366" t="str">
        <f t="shared" si="44"/>
        <v>維持管理・運営期間</v>
      </c>
      <c r="Y32" s="106">
        <f t="shared" si="0"/>
        <v>0</v>
      </c>
      <c r="Z32" s="107">
        <f t="shared" si="1"/>
        <v>0</v>
      </c>
      <c r="AA32" s="107">
        <f t="shared" si="2"/>
        <v>0</v>
      </c>
      <c r="AB32" s="260">
        <f t="shared" si="3"/>
        <v>70</v>
      </c>
      <c r="AC32" s="260">
        <f t="shared" si="4"/>
        <v>0</v>
      </c>
      <c r="AD32" s="261">
        <f t="shared" si="45"/>
        <v>70</v>
      </c>
      <c r="AE32" s="262">
        <f t="shared" si="5"/>
        <v>0</v>
      </c>
      <c r="AF32" s="263">
        <f t="shared" si="6"/>
        <v>0</v>
      </c>
      <c r="AG32" s="107">
        <f t="shared" si="7"/>
        <v>47.5</v>
      </c>
      <c r="AH32" s="107">
        <f t="shared" si="46"/>
        <v>10</v>
      </c>
      <c r="AI32" s="368">
        <f>IF(AND($W32&gt;$O$100, SUM($AA$17:AA31)&gt;0,SUM($AI$17:AI31)&lt;$O$96),$O$99,0)</f>
        <v>64.125</v>
      </c>
      <c r="AJ32" s="107">
        <f>IF(SUM($AA$18:$AA31)&gt;0,($O$96-SUM($AI$18:$AI31))*$E$100,0)</f>
        <v>15.00525</v>
      </c>
      <c r="AK32" s="108">
        <f t="shared" si="8"/>
        <v>136.63024999999999</v>
      </c>
      <c r="AL32" s="113">
        <f t="shared" si="9"/>
        <v>-66.63024999999999</v>
      </c>
      <c r="AM32" s="109"/>
      <c r="AN32" s="114">
        <f t="shared" si="10"/>
        <v>-38.172713085834843</v>
      </c>
      <c r="AO32" s="110"/>
      <c r="AP32" s="112">
        <f t="shared" si="11"/>
        <v>0</v>
      </c>
      <c r="AQ32" s="113">
        <f t="shared" si="12"/>
        <v>0</v>
      </c>
      <c r="AR32" s="113">
        <f t="shared" si="13"/>
        <v>0</v>
      </c>
      <c r="AS32" s="247">
        <f t="shared" si="14"/>
        <v>0</v>
      </c>
      <c r="AT32" s="248">
        <f t="shared" si="15"/>
        <v>0</v>
      </c>
      <c r="AU32" s="107">
        <f t="shared" si="47"/>
        <v>0</v>
      </c>
      <c r="AV32" s="107">
        <f t="shared" si="16"/>
        <v>59.422111380939356</v>
      </c>
      <c r="AW32" s="107">
        <f t="shared" si="17"/>
        <v>23.581908905234855</v>
      </c>
      <c r="AX32" s="107">
        <f t="shared" si="48"/>
        <v>0</v>
      </c>
      <c r="AY32" s="107">
        <f t="shared" si="49"/>
        <v>6</v>
      </c>
      <c r="AZ32" s="107">
        <f t="shared" si="18"/>
        <v>0</v>
      </c>
      <c r="BA32" s="368">
        <f>IF(AND($W32&gt;$P$100, SUM($AR$17:AR31)&gt;0,SUM($BA$17:BA31)&lt;$P$96),$P$99,0)</f>
        <v>51.75</v>
      </c>
      <c r="BB32" s="107">
        <f>IF(SUM($AR$18:$AR31)&gt;0,($P$96-SUM($BA$18:$BA31))*$F$100,0)</f>
        <v>12.109500000000001</v>
      </c>
      <c r="BC32" s="108">
        <f t="shared" si="63"/>
        <v>152.86352028617421</v>
      </c>
      <c r="BD32" s="113">
        <f t="shared" si="64"/>
        <v>-152.86352028617421</v>
      </c>
      <c r="BE32" s="114">
        <f t="shared" si="65"/>
        <v>-87.576067944737161</v>
      </c>
      <c r="BF32" s="111"/>
      <c r="BG32" s="180">
        <f t="shared" si="52"/>
        <v>0.57290364490355128</v>
      </c>
      <c r="BI32" s="106">
        <f t="shared" si="20"/>
        <v>0</v>
      </c>
      <c r="BJ32" s="107">
        <f t="shared" si="21"/>
        <v>59.422111380939356</v>
      </c>
      <c r="BK32" s="107">
        <f t="shared" si="22"/>
        <v>23.581908905234855</v>
      </c>
      <c r="BL32" s="113">
        <f t="shared" si="66"/>
        <v>0</v>
      </c>
      <c r="BM32" s="113">
        <f t="shared" si="67"/>
        <v>0</v>
      </c>
      <c r="BN32" s="260">
        <f t="shared" si="23"/>
        <v>110</v>
      </c>
      <c r="BO32" s="260">
        <f t="shared" si="24"/>
        <v>50</v>
      </c>
      <c r="BP32" s="264">
        <f t="shared" si="55"/>
        <v>243.00402028617421</v>
      </c>
      <c r="BQ32" s="263">
        <f t="shared" si="25"/>
        <v>0</v>
      </c>
      <c r="BR32" s="263">
        <f t="shared" si="26"/>
        <v>0</v>
      </c>
      <c r="BS32" s="263">
        <f t="shared" si="27"/>
        <v>47.5</v>
      </c>
      <c r="BT32" s="263">
        <f t="shared" si="28"/>
        <v>16.585351831248698</v>
      </c>
      <c r="BU32" s="263">
        <f t="shared" si="29"/>
        <v>6.8406438416453952</v>
      </c>
      <c r="BV32" s="263">
        <f t="shared" si="30"/>
        <v>12</v>
      </c>
      <c r="BW32" s="263">
        <f t="shared" si="31"/>
        <v>0</v>
      </c>
      <c r="BX32" s="260">
        <f t="shared" si="32"/>
        <v>0.18</v>
      </c>
      <c r="BY32" s="260">
        <f t="shared" si="56"/>
        <v>16.31011660742816</v>
      </c>
      <c r="BZ32" s="264">
        <f t="shared" si="33"/>
        <v>99.416112280322253</v>
      </c>
      <c r="CA32" s="264">
        <f t="shared" si="34"/>
        <v>150.42855184749735</v>
      </c>
      <c r="CB32" s="265"/>
      <c r="CC32" s="266">
        <f t="shared" si="35"/>
        <v>0</v>
      </c>
      <c r="CD32" s="263">
        <f t="shared" si="36"/>
        <v>-27.5</v>
      </c>
      <c r="CE32" s="263" cm="1">
        <f t="array" ref="CE32">SUM(BK32:BO32, -BS32:BX32, CC32:CD32)</f>
        <v>72.975913232340758</v>
      </c>
      <c r="CF32" s="260">
        <f t="shared" si="37"/>
        <v>-16.31011660742816</v>
      </c>
      <c r="CG32" s="261">
        <f t="shared" si="57"/>
        <v>56.665796624912602</v>
      </c>
      <c r="CH32" s="265"/>
      <c r="CI32" s="266">
        <f t="shared" si="38"/>
        <v>0</v>
      </c>
      <c r="CJ32" s="263">
        <f t="shared" si="39"/>
        <v>0</v>
      </c>
      <c r="CK32" s="263">
        <f t="shared" si="40"/>
        <v>0</v>
      </c>
      <c r="CL32" s="263">
        <f t="shared" si="58"/>
        <v>0</v>
      </c>
      <c r="CM32" s="263">
        <f t="shared" si="41"/>
        <v>-79.44516908621577</v>
      </c>
      <c r="CN32" s="263">
        <f t="shared" si="59"/>
        <v>940.55023871924936</v>
      </c>
      <c r="CO32" s="263">
        <f t="shared" si="60"/>
        <v>56.665796624912602</v>
      </c>
      <c r="CP32" s="263">
        <f t="shared" si="61"/>
        <v>-56.665796624912602</v>
      </c>
      <c r="CQ32" s="263">
        <f t="shared" si="62"/>
        <v>56.665796624912602</v>
      </c>
    </row>
    <row r="33" spans="2:95" ht="15.75" customHeight="1" x14ac:dyDescent="0.45">
      <c r="C33" s="119" t="s">
        <v>156</v>
      </c>
      <c r="D33" s="191" t="s">
        <v>21</v>
      </c>
      <c r="E33" s="156">
        <f>事業費用概算!G7</f>
        <v>3000</v>
      </c>
      <c r="F33" s="178">
        <f>E33</f>
        <v>3000</v>
      </c>
      <c r="K33" s="21" t="s">
        <v>342</v>
      </c>
      <c r="N33" s="191" t="s">
        <v>21</v>
      </c>
      <c r="P33" s="168">
        <f>P32-P88</f>
        <v>2300</v>
      </c>
      <c r="V33" s="294">
        <f t="shared" si="42"/>
        <v>51956</v>
      </c>
      <c r="W33" s="366">
        <f t="shared" si="43"/>
        <v>16</v>
      </c>
      <c r="X33" s="366" t="str">
        <f t="shared" si="44"/>
        <v>維持管理・運営期間</v>
      </c>
      <c r="Y33" s="106">
        <f t="shared" si="0"/>
        <v>0</v>
      </c>
      <c r="Z33" s="107">
        <f t="shared" si="1"/>
        <v>0</v>
      </c>
      <c r="AA33" s="107">
        <f t="shared" si="2"/>
        <v>0</v>
      </c>
      <c r="AB33" s="260">
        <f t="shared" si="3"/>
        <v>70</v>
      </c>
      <c r="AC33" s="260">
        <f t="shared" si="4"/>
        <v>0</v>
      </c>
      <c r="AD33" s="261">
        <f t="shared" si="45"/>
        <v>70</v>
      </c>
      <c r="AE33" s="262">
        <f t="shared" si="5"/>
        <v>0</v>
      </c>
      <c r="AF33" s="263">
        <f t="shared" si="6"/>
        <v>0</v>
      </c>
      <c r="AG33" s="107">
        <f t="shared" si="7"/>
        <v>47.5</v>
      </c>
      <c r="AH33" s="107">
        <f t="shared" si="46"/>
        <v>10</v>
      </c>
      <c r="AI33" s="368">
        <f>IF(AND($W33&gt;$O$100, SUM($AA$17:AA32)&gt;0,SUM($AI$17:AI32)&lt;$O$96),$O$99,0)</f>
        <v>64.125</v>
      </c>
      <c r="AJ33" s="107">
        <f>IF(SUM($AA$18:$AA32)&gt;0,($O$96-SUM($AI$18:$AI32))*$E$100,0)</f>
        <v>13.7548125</v>
      </c>
      <c r="AK33" s="108">
        <f t="shared" si="8"/>
        <v>135.37981250000001</v>
      </c>
      <c r="AL33" s="113">
        <f t="shared" si="9"/>
        <v>-65.379812500000014</v>
      </c>
      <c r="AM33" s="109"/>
      <c r="AN33" s="114">
        <f t="shared" si="10"/>
        <v>-36.090870875651383</v>
      </c>
      <c r="AO33" s="110"/>
      <c r="AP33" s="112">
        <f t="shared" si="11"/>
        <v>0</v>
      </c>
      <c r="AQ33" s="113">
        <f t="shared" si="12"/>
        <v>0</v>
      </c>
      <c r="AR33" s="113">
        <f t="shared" si="13"/>
        <v>0</v>
      </c>
      <c r="AS33" s="247">
        <f t="shared" si="14"/>
        <v>0</v>
      </c>
      <c r="AT33" s="248">
        <f t="shared" si="15"/>
        <v>0</v>
      </c>
      <c r="AU33" s="107">
        <f t="shared" si="47"/>
        <v>0</v>
      </c>
      <c r="AV33" s="107">
        <f t="shared" si="16"/>
        <v>61.67028754292582</v>
      </c>
      <c r="AW33" s="107">
        <f t="shared" si="17"/>
        <v>21.333732743248397</v>
      </c>
      <c r="AX33" s="107">
        <f t="shared" si="48"/>
        <v>0</v>
      </c>
      <c r="AY33" s="107">
        <f t="shared" si="49"/>
        <v>6</v>
      </c>
      <c r="AZ33" s="107">
        <f t="shared" si="18"/>
        <v>0</v>
      </c>
      <c r="BA33" s="368">
        <f>IF(AND($W33&gt;$P$100, SUM($AR$17:AR32)&gt;0,SUM($BA$17:BA32)&lt;$P$96),$P$99,0)</f>
        <v>51.75</v>
      </c>
      <c r="BB33" s="107">
        <f>IF(SUM($AR$18:$AR32)&gt;0,($P$96-SUM($BA$18:$BA32))*$F$100,0)</f>
        <v>11.100375</v>
      </c>
      <c r="BC33" s="108">
        <f t="shared" si="63"/>
        <v>151.85439528617422</v>
      </c>
      <c r="BD33" s="113">
        <f t="shared" si="64"/>
        <v>-151.85439528617422</v>
      </c>
      <c r="BE33" s="114">
        <f t="shared" si="65"/>
        <v>-83.826446767087873</v>
      </c>
      <c r="BF33" s="111"/>
      <c r="BG33" s="180">
        <f t="shared" si="52"/>
        <v>0.55201857416846178</v>
      </c>
      <c r="BI33" s="106">
        <f t="shared" si="20"/>
        <v>0</v>
      </c>
      <c r="BJ33" s="107">
        <f t="shared" si="21"/>
        <v>61.67028754292582</v>
      </c>
      <c r="BK33" s="107">
        <f t="shared" si="22"/>
        <v>21.333732743248397</v>
      </c>
      <c r="BL33" s="113">
        <f t="shared" si="66"/>
        <v>0</v>
      </c>
      <c r="BM33" s="113">
        <f t="shared" si="67"/>
        <v>0</v>
      </c>
      <c r="BN33" s="260">
        <f t="shared" si="23"/>
        <v>110</v>
      </c>
      <c r="BO33" s="260">
        <f t="shared" si="24"/>
        <v>50</v>
      </c>
      <c r="BP33" s="264">
        <f t="shared" si="55"/>
        <v>243.00402028617421</v>
      </c>
      <c r="BQ33" s="263">
        <f t="shared" si="25"/>
        <v>0</v>
      </c>
      <c r="BR33" s="263">
        <f t="shared" si="26"/>
        <v>0</v>
      </c>
      <c r="BS33" s="263">
        <f t="shared" si="27"/>
        <v>47.5</v>
      </c>
      <c r="BT33" s="263">
        <f t="shared" si="28"/>
        <v>14.938328606855039</v>
      </c>
      <c r="BU33" s="263">
        <f t="shared" si="29"/>
        <v>6.1750297331868813</v>
      </c>
      <c r="BV33" s="263">
        <f t="shared" si="30"/>
        <v>12</v>
      </c>
      <c r="BW33" s="263">
        <f t="shared" si="31"/>
        <v>0</v>
      </c>
      <c r="BX33" s="260">
        <f t="shared" si="32"/>
        <v>0.18</v>
      </c>
      <c r="BY33" s="260">
        <f t="shared" si="56"/>
        <v>16.324523679116645</v>
      </c>
      <c r="BZ33" s="264">
        <f t="shared" si="33"/>
        <v>97.117882019158571</v>
      </c>
      <c r="CA33" s="264">
        <f t="shared" si="34"/>
        <v>152.06116800020251</v>
      </c>
      <c r="CB33" s="265"/>
      <c r="CC33" s="266">
        <f t="shared" si="35"/>
        <v>0</v>
      </c>
      <c r="CD33" s="263">
        <f t="shared" si="36"/>
        <v>-27.5</v>
      </c>
      <c r="CE33" s="263" cm="1">
        <f t="array" ref="CE33">SUM(BK33:BO33, -BS33:BX33, CC33:CD33)</f>
        <v>73.040374403206471</v>
      </c>
      <c r="CF33" s="260">
        <f t="shared" si="37"/>
        <v>-16.324523679116645</v>
      </c>
      <c r="CG33" s="261">
        <f t="shared" si="57"/>
        <v>56.715850724089826</v>
      </c>
      <c r="CH33" s="265"/>
      <c r="CI33" s="266">
        <f t="shared" si="38"/>
        <v>0</v>
      </c>
      <c r="CJ33" s="263">
        <f t="shared" si="39"/>
        <v>0</v>
      </c>
      <c r="CK33" s="263">
        <f t="shared" si="40"/>
        <v>0</v>
      </c>
      <c r="CL33" s="263">
        <f t="shared" si="58"/>
        <v>0</v>
      </c>
      <c r="CM33" s="263">
        <f t="shared" si="41"/>
        <v>-81.757806419067947</v>
      </c>
      <c r="CN33" s="263">
        <f t="shared" si="59"/>
        <v>948.01277394228441</v>
      </c>
      <c r="CO33" s="263">
        <f t="shared" si="60"/>
        <v>56.715850724089833</v>
      </c>
      <c r="CP33" s="263">
        <f t="shared" si="61"/>
        <v>-56.715850724089833</v>
      </c>
      <c r="CQ33" s="263">
        <f t="shared" si="62"/>
        <v>56.715850724089833</v>
      </c>
    </row>
    <row r="34" spans="2:95" ht="15.75" customHeight="1" x14ac:dyDescent="0.55000000000000004">
      <c r="C34" s="119"/>
      <c r="E34" s="22" t="s">
        <v>55</v>
      </c>
      <c r="F34" s="22" t="s">
        <v>98</v>
      </c>
      <c r="K34" s="119" t="s">
        <v>157</v>
      </c>
      <c r="M34" s="119"/>
      <c r="N34" s="191" t="s">
        <v>21</v>
      </c>
      <c r="O34" s="147">
        <f>O32*E35</f>
        <v>2850</v>
      </c>
      <c r="P34" s="147">
        <f>$P$33*F35</f>
        <v>1150</v>
      </c>
      <c r="V34" s="294">
        <f t="shared" si="42"/>
        <v>52321</v>
      </c>
      <c r="W34" s="366">
        <f t="shared" si="43"/>
        <v>17</v>
      </c>
      <c r="X34" s="366" t="str">
        <f t="shared" si="44"/>
        <v>維持管理・運営期間</v>
      </c>
      <c r="Y34" s="106">
        <f t="shared" si="0"/>
        <v>0</v>
      </c>
      <c r="Z34" s="107">
        <f t="shared" si="1"/>
        <v>0</v>
      </c>
      <c r="AA34" s="107">
        <f t="shared" si="2"/>
        <v>0</v>
      </c>
      <c r="AB34" s="260">
        <f t="shared" si="3"/>
        <v>70</v>
      </c>
      <c r="AC34" s="260">
        <f t="shared" si="4"/>
        <v>0</v>
      </c>
      <c r="AD34" s="261">
        <f t="shared" si="45"/>
        <v>70</v>
      </c>
      <c r="AE34" s="262">
        <f t="shared" si="5"/>
        <v>0</v>
      </c>
      <c r="AF34" s="263">
        <f t="shared" si="6"/>
        <v>0</v>
      </c>
      <c r="AG34" s="107">
        <f t="shared" si="7"/>
        <v>47.5</v>
      </c>
      <c r="AH34" s="107">
        <f t="shared" si="46"/>
        <v>10</v>
      </c>
      <c r="AI34" s="368">
        <f>IF(AND($W34&gt;$O$100, SUM($AA$17:AA33)&gt;0,SUM($AI$17:AI33)&lt;$O$96),$O$99,0)</f>
        <v>64.125</v>
      </c>
      <c r="AJ34" s="107">
        <f>IF(SUM($AA$18:$AA33)&gt;0,($O$96-SUM($AI$18:$AI33))*$E$100,0)</f>
        <v>12.504375</v>
      </c>
      <c r="AK34" s="108">
        <f t="shared" si="8"/>
        <v>134.12937500000001</v>
      </c>
      <c r="AL34" s="113">
        <f t="shared" si="9"/>
        <v>-64.12937500000001</v>
      </c>
      <c r="AM34" s="109"/>
      <c r="AN34" s="114">
        <f t="shared" si="10"/>
        <v>-34.110085186855123</v>
      </c>
      <c r="AO34" s="110"/>
      <c r="AP34" s="112">
        <f t="shared" si="11"/>
        <v>0</v>
      </c>
      <c r="AQ34" s="113">
        <f t="shared" si="12"/>
        <v>0</v>
      </c>
      <c r="AR34" s="113">
        <f t="shared" si="13"/>
        <v>0</v>
      </c>
      <c r="AS34" s="247">
        <f t="shared" si="14"/>
        <v>0</v>
      </c>
      <c r="AT34" s="248">
        <f t="shared" si="15"/>
        <v>0</v>
      </c>
      <c r="AU34" s="107">
        <f t="shared" si="47"/>
        <v>0</v>
      </c>
      <c r="AV34" s="107">
        <f t="shared" si="16"/>
        <v>64.003521201824867</v>
      </c>
      <c r="AW34" s="107">
        <f t="shared" si="17"/>
        <v>19.000499084349343</v>
      </c>
      <c r="AX34" s="107">
        <f t="shared" si="48"/>
        <v>0</v>
      </c>
      <c r="AY34" s="107">
        <f t="shared" si="49"/>
        <v>6</v>
      </c>
      <c r="AZ34" s="107">
        <f t="shared" si="18"/>
        <v>0</v>
      </c>
      <c r="BA34" s="368">
        <f>IF(AND($W34&gt;$P$100, SUM($AR$17:AR33)&gt;0,SUM($BA$17:BA33)&lt;$P$96),$P$99,0)</f>
        <v>51.75</v>
      </c>
      <c r="BB34" s="107">
        <f>IF(SUM($AR$18:$AR33)&gt;0,($P$96-SUM($BA$18:$BA33))*$F$100,0)</f>
        <v>10.09125</v>
      </c>
      <c r="BC34" s="108">
        <f t="shared" si="63"/>
        <v>150.84527028617421</v>
      </c>
      <c r="BD34" s="113">
        <f t="shared" si="64"/>
        <v>-150.84527028617421</v>
      </c>
      <c r="BE34" s="114">
        <f t="shared" si="65"/>
        <v>-80.233824507031102</v>
      </c>
      <c r="BF34" s="111"/>
      <c r="BG34" s="180">
        <f t="shared" si="52"/>
        <v>0.53189486388811869</v>
      </c>
      <c r="BI34" s="106">
        <f t="shared" si="20"/>
        <v>0</v>
      </c>
      <c r="BJ34" s="107">
        <f t="shared" si="21"/>
        <v>64.003521201824867</v>
      </c>
      <c r="BK34" s="107">
        <f t="shared" si="22"/>
        <v>19.000499084349343</v>
      </c>
      <c r="BL34" s="113">
        <f t="shared" si="66"/>
        <v>0</v>
      </c>
      <c r="BM34" s="113">
        <f t="shared" si="67"/>
        <v>0</v>
      </c>
      <c r="BN34" s="260">
        <f t="shared" si="23"/>
        <v>110</v>
      </c>
      <c r="BO34" s="260">
        <f t="shared" si="24"/>
        <v>50</v>
      </c>
      <c r="BP34" s="264">
        <f t="shared" si="55"/>
        <v>243.00402028617421</v>
      </c>
      <c r="BQ34" s="263">
        <f t="shared" si="25"/>
        <v>0</v>
      </c>
      <c r="BR34" s="263">
        <f t="shared" si="26"/>
        <v>0</v>
      </c>
      <c r="BS34" s="263">
        <f t="shared" si="27"/>
        <v>47.5</v>
      </c>
      <c r="BT34" s="263">
        <f t="shared" si="28"/>
        <v>13.245462138033608</v>
      </c>
      <c r="BU34" s="263">
        <f t="shared" si="29"/>
        <v>5.4875608510912395</v>
      </c>
      <c r="BV34" s="263">
        <f t="shared" si="30"/>
        <v>12</v>
      </c>
      <c r="BW34" s="263">
        <f t="shared" si="31"/>
        <v>0</v>
      </c>
      <c r="BX34" s="260">
        <f t="shared" si="32"/>
        <v>0.18</v>
      </c>
      <c r="BY34" s="260">
        <f t="shared" si="56"/>
        <v>16.335050907282675</v>
      </c>
      <c r="BZ34" s="264">
        <f t="shared" si="33"/>
        <v>94.748073896407533</v>
      </c>
      <c r="CA34" s="264">
        <f t="shared" si="34"/>
        <v>153.74350724085792</v>
      </c>
      <c r="CB34" s="265"/>
      <c r="CC34" s="266">
        <f t="shared" si="35"/>
        <v>0</v>
      </c>
      <c r="CD34" s="263">
        <f t="shared" si="36"/>
        <v>-27.5</v>
      </c>
      <c r="CE34" s="263" cm="1">
        <f t="array" ref="CE34">SUM(BK34:BO34, -BS34:BX34, CC34:CD34)</f>
        <v>73.087476095224488</v>
      </c>
      <c r="CF34" s="260">
        <f t="shared" si="37"/>
        <v>-16.335050907282675</v>
      </c>
      <c r="CG34" s="261">
        <f t="shared" si="57"/>
        <v>56.75242518794181</v>
      </c>
      <c r="CH34" s="265"/>
      <c r="CI34" s="266">
        <f t="shared" si="38"/>
        <v>0</v>
      </c>
      <c r="CJ34" s="263">
        <f t="shared" si="39"/>
        <v>0</v>
      </c>
      <c r="CK34" s="263">
        <f t="shared" si="40"/>
        <v>0</v>
      </c>
      <c r="CL34" s="263">
        <f t="shared" si="58"/>
        <v>0</v>
      </c>
      <c r="CM34" s="263">
        <f t="shared" si="41"/>
        <v>-84.138141769985026</v>
      </c>
      <c r="CN34" s="263">
        <f t="shared" si="59"/>
        <v>955.41472783797622</v>
      </c>
      <c r="CO34" s="263">
        <f t="shared" si="60"/>
        <v>56.75242518794181</v>
      </c>
      <c r="CP34" s="263">
        <f t="shared" si="61"/>
        <v>-56.75242518794181</v>
      </c>
      <c r="CQ34" s="263">
        <f t="shared" si="62"/>
        <v>56.75242518794181</v>
      </c>
    </row>
    <row r="35" spans="2:95" ht="15.75" customHeight="1" x14ac:dyDescent="0.45">
      <c r="C35" s="119" t="s">
        <v>159</v>
      </c>
      <c r="D35" s="191" t="s">
        <v>25</v>
      </c>
      <c r="E35" s="315">
        <v>1</v>
      </c>
      <c r="F35" s="157">
        <v>0.5</v>
      </c>
      <c r="K35" s="119" t="s">
        <v>158</v>
      </c>
      <c r="M35" s="119"/>
      <c r="N35" s="191" t="s">
        <v>21</v>
      </c>
      <c r="O35" s="147">
        <f>O34*E36</f>
        <v>0</v>
      </c>
      <c r="P35" s="147">
        <f>$P$33*F36</f>
        <v>1150</v>
      </c>
      <c r="V35" s="294">
        <f t="shared" si="42"/>
        <v>52687</v>
      </c>
      <c r="W35" s="366">
        <f t="shared" si="43"/>
        <v>18</v>
      </c>
      <c r="X35" s="366" t="str">
        <f t="shared" si="44"/>
        <v>維持管理・運営期間</v>
      </c>
      <c r="Y35" s="106">
        <f t="shared" si="0"/>
        <v>0</v>
      </c>
      <c r="Z35" s="107">
        <f t="shared" si="1"/>
        <v>0</v>
      </c>
      <c r="AA35" s="107">
        <f t="shared" si="2"/>
        <v>0</v>
      </c>
      <c r="AB35" s="260">
        <f t="shared" si="3"/>
        <v>70</v>
      </c>
      <c r="AC35" s="260">
        <f t="shared" si="4"/>
        <v>0</v>
      </c>
      <c r="AD35" s="261">
        <f t="shared" si="45"/>
        <v>70</v>
      </c>
      <c r="AE35" s="262">
        <f t="shared" si="5"/>
        <v>0</v>
      </c>
      <c r="AF35" s="263">
        <f t="shared" si="6"/>
        <v>0</v>
      </c>
      <c r="AG35" s="107">
        <f t="shared" si="7"/>
        <v>47.5</v>
      </c>
      <c r="AH35" s="107">
        <f t="shared" si="46"/>
        <v>10</v>
      </c>
      <c r="AI35" s="368">
        <f>IF(AND($W35&gt;$O$100, SUM($AA$17:AA34)&gt;0,SUM($AI$17:AI34)&lt;$O$96),$O$99,0)</f>
        <v>64.125</v>
      </c>
      <c r="AJ35" s="107">
        <f>IF(SUM($AA$18:$AA34)&gt;0,($O$96-SUM($AI$18:$AI34))*$E$100,0)</f>
        <v>11.253937499999999</v>
      </c>
      <c r="AK35" s="108">
        <f t="shared" si="8"/>
        <v>132.87893750000001</v>
      </c>
      <c r="AL35" s="113">
        <f t="shared" si="9"/>
        <v>-62.878937500000006</v>
      </c>
      <c r="AM35" s="109"/>
      <c r="AN35" s="114">
        <f t="shared" si="10"/>
        <v>-32.225754699684181</v>
      </c>
      <c r="AO35" s="110"/>
      <c r="AP35" s="112">
        <f t="shared" si="11"/>
        <v>0</v>
      </c>
      <c r="AQ35" s="113">
        <f t="shared" si="12"/>
        <v>0</v>
      </c>
      <c r="AR35" s="113">
        <f t="shared" si="13"/>
        <v>0</v>
      </c>
      <c r="AS35" s="247">
        <f t="shared" si="14"/>
        <v>0</v>
      </c>
      <c r="AT35" s="248">
        <f t="shared" si="15"/>
        <v>0</v>
      </c>
      <c r="AU35" s="107">
        <f t="shared" si="47"/>
        <v>0</v>
      </c>
      <c r="AV35" s="107">
        <f t="shared" si="16"/>
        <v>66.425030422974714</v>
      </c>
      <c r="AW35" s="107">
        <f t="shared" si="17"/>
        <v>16.578989863199496</v>
      </c>
      <c r="AX35" s="107">
        <f t="shared" si="48"/>
        <v>0</v>
      </c>
      <c r="AY35" s="107">
        <f t="shared" si="49"/>
        <v>6</v>
      </c>
      <c r="AZ35" s="107">
        <f t="shared" si="18"/>
        <v>0</v>
      </c>
      <c r="BA35" s="368">
        <f>IF(AND($W35&gt;$P$100, SUM($AR$17:AR34)&gt;0,SUM($BA$17:BA34)&lt;$P$96),$P$99,0)</f>
        <v>51.75</v>
      </c>
      <c r="BB35" s="107">
        <f>IF(SUM($AR$18:$AR34)&gt;0,($P$96-SUM($BA$18:$BA34))*$F$100,0)</f>
        <v>9.0821249999999996</v>
      </c>
      <c r="BC35" s="108">
        <f t="shared" si="63"/>
        <v>149.8361452861742</v>
      </c>
      <c r="BD35" s="113">
        <f t="shared" si="64"/>
        <v>-149.8361452861742</v>
      </c>
      <c r="BE35" s="114">
        <f t="shared" si="65"/>
        <v>-76.791737505718658</v>
      </c>
      <c r="BF35" s="111"/>
      <c r="BG35" s="180">
        <f t="shared" si="52"/>
        <v>0.51250475884208724</v>
      </c>
      <c r="BI35" s="106">
        <f t="shared" si="20"/>
        <v>0</v>
      </c>
      <c r="BJ35" s="107">
        <f t="shared" si="21"/>
        <v>66.425030422974714</v>
      </c>
      <c r="BK35" s="107">
        <f t="shared" si="22"/>
        <v>16.578989863199496</v>
      </c>
      <c r="BL35" s="113">
        <f t="shared" si="66"/>
        <v>0</v>
      </c>
      <c r="BM35" s="113">
        <f t="shared" si="67"/>
        <v>0</v>
      </c>
      <c r="BN35" s="260">
        <f t="shared" si="23"/>
        <v>110</v>
      </c>
      <c r="BO35" s="260">
        <f t="shared" si="24"/>
        <v>50</v>
      </c>
      <c r="BP35" s="264">
        <f t="shared" si="55"/>
        <v>243.00402028617421</v>
      </c>
      <c r="BQ35" s="263">
        <f t="shared" si="25"/>
        <v>0</v>
      </c>
      <c r="BR35" s="263">
        <f t="shared" si="26"/>
        <v>0</v>
      </c>
      <c r="BS35" s="263">
        <f t="shared" si="27"/>
        <v>47.5</v>
      </c>
      <c r="BT35" s="263">
        <f t="shared" si="28"/>
        <v>11.505476423918999</v>
      </c>
      <c r="BU35" s="263">
        <f t="shared" si="29"/>
        <v>4.7775196157208697</v>
      </c>
      <c r="BV35" s="263">
        <f t="shared" si="30"/>
        <v>12</v>
      </c>
      <c r="BW35" s="263">
        <f t="shared" si="31"/>
        <v>0</v>
      </c>
      <c r="BX35" s="260">
        <f t="shared" si="32"/>
        <v>0.18</v>
      </c>
      <c r="BY35" s="260">
        <f t="shared" si="56"/>
        <v>16.341424619565576</v>
      </c>
      <c r="BZ35" s="264">
        <f t="shared" si="33"/>
        <v>92.304420659205448</v>
      </c>
      <c r="CA35" s="264">
        <f t="shared" si="34"/>
        <v>155.47711924268964</v>
      </c>
      <c r="CB35" s="265"/>
      <c r="CC35" s="266">
        <f t="shared" si="35"/>
        <v>0</v>
      </c>
      <c r="CD35" s="263">
        <f t="shared" si="36"/>
        <v>-27.5</v>
      </c>
      <c r="CE35" s="263" cm="1">
        <f t="array" ref="CE35">SUM(BK35:BO35, -BS35:BX35, CC35:CD35)</f>
        <v>73.11599382355962</v>
      </c>
      <c r="CF35" s="260">
        <f t="shared" si="37"/>
        <v>-16.341424619565576</v>
      </c>
      <c r="CG35" s="261">
        <f t="shared" si="57"/>
        <v>56.774569203994048</v>
      </c>
      <c r="CH35" s="265"/>
      <c r="CI35" s="266">
        <f t="shared" si="38"/>
        <v>0</v>
      </c>
      <c r="CJ35" s="263">
        <f t="shared" si="39"/>
        <v>0</v>
      </c>
      <c r="CK35" s="263">
        <f t="shared" si="40"/>
        <v>0</v>
      </c>
      <c r="CL35" s="263">
        <f t="shared" si="58"/>
        <v>0</v>
      </c>
      <c r="CM35" s="263">
        <f t="shared" si="41"/>
        <v>-86.588168719470005</v>
      </c>
      <c r="CN35" s="263">
        <f t="shared" si="59"/>
        <v>962.77373355753332</v>
      </c>
      <c r="CO35" s="263">
        <f t="shared" si="60"/>
        <v>56.774569203994048</v>
      </c>
      <c r="CP35" s="263">
        <f t="shared" si="61"/>
        <v>-56.774569203994048</v>
      </c>
      <c r="CQ35" s="263">
        <f t="shared" si="62"/>
        <v>56.774569203994048</v>
      </c>
    </row>
    <row r="36" spans="2:95" ht="15.75" customHeight="1" x14ac:dyDescent="0.45">
      <c r="C36" s="119" t="s">
        <v>162</v>
      </c>
      <c r="D36" s="191" t="s">
        <v>25</v>
      </c>
      <c r="E36" s="158"/>
      <c r="F36" s="159">
        <f>1-F35</f>
        <v>0.5</v>
      </c>
      <c r="K36" s="275" t="s">
        <v>161</v>
      </c>
      <c r="L36" s="241"/>
      <c r="M36" s="275"/>
      <c r="N36" s="242" t="s">
        <v>21</v>
      </c>
      <c r="O36" s="442">
        <f>SUM(O34:O35)</f>
        <v>2850</v>
      </c>
      <c r="P36" s="442">
        <f>SUM(P34:P35)</f>
        <v>2300</v>
      </c>
      <c r="V36" s="294">
        <f t="shared" si="42"/>
        <v>53052</v>
      </c>
      <c r="W36" s="366">
        <f t="shared" si="43"/>
        <v>19</v>
      </c>
      <c r="X36" s="366" t="str">
        <f t="shared" si="44"/>
        <v>維持管理・運営期間</v>
      </c>
      <c r="Y36" s="106">
        <f t="shared" si="0"/>
        <v>0</v>
      </c>
      <c r="Z36" s="107">
        <f t="shared" si="1"/>
        <v>0</v>
      </c>
      <c r="AA36" s="107">
        <f t="shared" si="2"/>
        <v>0</v>
      </c>
      <c r="AB36" s="260">
        <f t="shared" si="3"/>
        <v>70</v>
      </c>
      <c r="AC36" s="260">
        <f t="shared" si="4"/>
        <v>0</v>
      </c>
      <c r="AD36" s="261">
        <f t="shared" si="45"/>
        <v>70</v>
      </c>
      <c r="AE36" s="262">
        <f t="shared" si="5"/>
        <v>0</v>
      </c>
      <c r="AF36" s="263">
        <f t="shared" si="6"/>
        <v>0</v>
      </c>
      <c r="AG36" s="107">
        <f t="shared" si="7"/>
        <v>47.5</v>
      </c>
      <c r="AH36" s="107">
        <f t="shared" si="46"/>
        <v>10</v>
      </c>
      <c r="AI36" s="368">
        <f>IF(AND($W36&gt;$O$100, SUM($AA$17:AA35)&gt;0,SUM($AI$17:AI35)&lt;$O$96),$O$99,0)</f>
        <v>64.125</v>
      </c>
      <c r="AJ36" s="107">
        <f>IF(SUM($AA$18:$AA35)&gt;0,($O$96-SUM($AI$18:$AI35))*$E$100,0)</f>
        <v>10.003500000000001</v>
      </c>
      <c r="AK36" s="108">
        <f t="shared" si="8"/>
        <v>131.6285</v>
      </c>
      <c r="AL36" s="113">
        <f t="shared" si="9"/>
        <v>-61.628500000000003</v>
      </c>
      <c r="AM36" s="109"/>
      <c r="AN36" s="114">
        <f t="shared" si="10"/>
        <v>-30.433479275394308</v>
      </c>
      <c r="AO36" s="110"/>
      <c r="AP36" s="112">
        <f t="shared" si="11"/>
        <v>0</v>
      </c>
      <c r="AQ36" s="113">
        <f t="shared" si="12"/>
        <v>0</v>
      </c>
      <c r="AR36" s="113">
        <f t="shared" si="13"/>
        <v>0</v>
      </c>
      <c r="AS36" s="247">
        <f t="shared" si="14"/>
        <v>0</v>
      </c>
      <c r="AT36" s="248">
        <f t="shared" si="15"/>
        <v>0</v>
      </c>
      <c r="AU36" s="107">
        <f t="shared" si="47"/>
        <v>0</v>
      </c>
      <c r="AV36" s="107">
        <f t="shared" si="16"/>
        <v>68.938155023997538</v>
      </c>
      <c r="AW36" s="107">
        <f t="shared" si="17"/>
        <v>14.06586526217667</v>
      </c>
      <c r="AX36" s="107">
        <f t="shared" si="48"/>
        <v>0</v>
      </c>
      <c r="AY36" s="107">
        <f t="shared" si="49"/>
        <v>6</v>
      </c>
      <c r="AZ36" s="107">
        <f t="shared" si="18"/>
        <v>0</v>
      </c>
      <c r="BA36" s="368">
        <f>IF(AND($W36&gt;$P$100, SUM($AR$17:AR35)&gt;0,SUM($BA$17:BA35)&lt;$P$96),$P$99,0)</f>
        <v>51.75</v>
      </c>
      <c r="BB36" s="107">
        <f>IF(SUM($AR$18:$AR35)&gt;0,($P$96-SUM($BA$18:$BA35))*$F$100,0)</f>
        <v>8.0730000000000004</v>
      </c>
      <c r="BC36" s="108">
        <f t="shared" si="63"/>
        <v>148.82702028617422</v>
      </c>
      <c r="BD36" s="113">
        <f t="shared" si="64"/>
        <v>-148.82702028617422</v>
      </c>
      <c r="BE36" s="114">
        <f t="shared" si="65"/>
        <v>-73.493984722944276</v>
      </c>
      <c r="BF36" s="111"/>
      <c r="BG36" s="180">
        <f t="shared" si="52"/>
        <v>0.49382151562011584</v>
      </c>
      <c r="BI36" s="106">
        <f t="shared" si="20"/>
        <v>0</v>
      </c>
      <c r="BJ36" s="107">
        <f t="shared" si="21"/>
        <v>68.938155023997538</v>
      </c>
      <c r="BK36" s="107">
        <f t="shared" si="22"/>
        <v>14.06586526217667</v>
      </c>
      <c r="BL36" s="113">
        <f t="shared" si="66"/>
        <v>0</v>
      </c>
      <c r="BM36" s="113">
        <f t="shared" si="67"/>
        <v>0</v>
      </c>
      <c r="BN36" s="260">
        <f t="shared" si="23"/>
        <v>110</v>
      </c>
      <c r="BO36" s="260">
        <f t="shared" si="24"/>
        <v>50</v>
      </c>
      <c r="BP36" s="264">
        <f t="shared" si="55"/>
        <v>243.00402028617421</v>
      </c>
      <c r="BQ36" s="263">
        <f t="shared" si="25"/>
        <v>0</v>
      </c>
      <c r="BR36" s="263">
        <f t="shared" si="26"/>
        <v>0</v>
      </c>
      <c r="BS36" s="263">
        <f t="shared" si="27"/>
        <v>47.5</v>
      </c>
      <c r="BT36" s="263">
        <f t="shared" si="28"/>
        <v>9.7170599474377237</v>
      </c>
      <c r="BU36" s="263">
        <f t="shared" si="29"/>
        <v>4.0441648864283497</v>
      </c>
      <c r="BV36" s="263">
        <f t="shared" si="30"/>
        <v>12</v>
      </c>
      <c r="BW36" s="263">
        <f t="shared" si="31"/>
        <v>0</v>
      </c>
      <c r="BX36" s="260">
        <f t="shared" si="32"/>
        <v>0.18</v>
      </c>
      <c r="BY36" s="260">
        <f t="shared" si="56"/>
        <v>16.343357135727416</v>
      </c>
      <c r="BZ36" s="264">
        <f t="shared" si="33"/>
        <v>89.784581969593489</v>
      </c>
      <c r="CA36" s="264">
        <f t="shared" si="34"/>
        <v>157.26360320300907</v>
      </c>
      <c r="CB36" s="265"/>
      <c r="CC36" s="266">
        <f t="shared" si="35"/>
        <v>0</v>
      </c>
      <c r="CD36" s="263">
        <f t="shared" si="36"/>
        <v>-27.5</v>
      </c>
      <c r="CE36" s="263" cm="1">
        <f t="array" ref="CE36">SUM(BK36:BO36, -BS36:BX36, CC36:CD36)</f>
        <v>73.124640428310585</v>
      </c>
      <c r="CF36" s="260">
        <f t="shared" si="37"/>
        <v>-16.343357135727416</v>
      </c>
      <c r="CG36" s="261">
        <f t="shared" si="57"/>
        <v>56.781283292583169</v>
      </c>
      <c r="CH36" s="265"/>
      <c r="CI36" s="266">
        <f t="shared" si="38"/>
        <v>0</v>
      </c>
      <c r="CJ36" s="263">
        <f t="shared" si="39"/>
        <v>0</v>
      </c>
      <c r="CK36" s="263">
        <f t="shared" si="40"/>
        <v>0</v>
      </c>
      <c r="CL36" s="263">
        <f t="shared" si="58"/>
        <v>0</v>
      </c>
      <c r="CM36" s="263">
        <f t="shared" si="41"/>
        <v>-89.109939925243808</v>
      </c>
      <c r="CN36" s="263">
        <f t="shared" si="59"/>
        <v>970.10866274487603</v>
      </c>
      <c r="CO36" s="263">
        <f t="shared" si="60"/>
        <v>56.781283292583169</v>
      </c>
      <c r="CP36" s="263">
        <f t="shared" si="61"/>
        <v>-56.781283292583169</v>
      </c>
      <c r="CQ36" s="263">
        <f t="shared" si="62"/>
        <v>56.781283292583169</v>
      </c>
    </row>
    <row r="37" spans="2:95" ht="15.75" customHeight="1" x14ac:dyDescent="0.45">
      <c r="C37" s="119" t="s">
        <v>343</v>
      </c>
      <c r="D37" s="191" t="s">
        <v>21</v>
      </c>
      <c r="E37" s="257"/>
      <c r="F37" s="183">
        <v>2300</v>
      </c>
      <c r="V37" s="294">
        <f t="shared" si="42"/>
        <v>53417</v>
      </c>
      <c r="W37" s="366">
        <f t="shared" si="43"/>
        <v>20</v>
      </c>
      <c r="X37" s="366" t="str">
        <f t="shared" si="44"/>
        <v>維持管理・運営期間</v>
      </c>
      <c r="Y37" s="106">
        <f t="shared" si="0"/>
        <v>0</v>
      </c>
      <c r="Z37" s="107">
        <f t="shared" si="1"/>
        <v>0</v>
      </c>
      <c r="AA37" s="107">
        <f t="shared" si="2"/>
        <v>0</v>
      </c>
      <c r="AB37" s="260">
        <f t="shared" si="3"/>
        <v>70</v>
      </c>
      <c r="AC37" s="260">
        <f t="shared" si="4"/>
        <v>0</v>
      </c>
      <c r="AD37" s="261">
        <f t="shared" si="45"/>
        <v>70</v>
      </c>
      <c r="AE37" s="262">
        <f t="shared" si="5"/>
        <v>0</v>
      </c>
      <c r="AF37" s="263">
        <f t="shared" si="6"/>
        <v>0</v>
      </c>
      <c r="AG37" s="107">
        <f t="shared" si="7"/>
        <v>47.5</v>
      </c>
      <c r="AH37" s="107">
        <f t="shared" si="46"/>
        <v>10</v>
      </c>
      <c r="AI37" s="368">
        <f>IF(AND($W37&gt;$O$100, SUM($AA$17:AA36)&gt;0,SUM($AI$17:AI36)&lt;$O$96),$O$99,0)</f>
        <v>64.125</v>
      </c>
      <c r="AJ37" s="107">
        <f>IF(SUM($AA$18:$AA36)&gt;0,($O$96-SUM($AI$18:$AI36))*$E$100,0)</f>
        <v>8.7530625000000004</v>
      </c>
      <c r="AK37" s="108">
        <f t="shared" si="8"/>
        <v>130.3780625</v>
      </c>
      <c r="AL37" s="113">
        <f t="shared" si="9"/>
        <v>-60.378062499999999</v>
      </c>
      <c r="AM37" s="109"/>
      <c r="AN37" s="114">
        <f t="shared" si="10"/>
        <v>-28.729051403168601</v>
      </c>
      <c r="AO37" s="110"/>
      <c r="AP37" s="112">
        <f t="shared" si="11"/>
        <v>0</v>
      </c>
      <c r="AQ37" s="113">
        <f t="shared" si="12"/>
        <v>0</v>
      </c>
      <c r="AR37" s="113">
        <f t="shared" si="13"/>
        <v>0</v>
      </c>
      <c r="AS37" s="247">
        <f t="shared" si="14"/>
        <v>0</v>
      </c>
      <c r="AT37" s="248">
        <f t="shared" si="15"/>
        <v>0</v>
      </c>
      <c r="AU37" s="107">
        <f t="shared" si="47"/>
        <v>0</v>
      </c>
      <c r="AV37" s="107">
        <f t="shared" si="16"/>
        <v>71.54636118117547</v>
      </c>
      <c r="AW37" s="107">
        <f t="shared" si="17"/>
        <v>11.457659104998749</v>
      </c>
      <c r="AX37" s="107">
        <f t="shared" si="48"/>
        <v>0</v>
      </c>
      <c r="AY37" s="107">
        <f t="shared" si="49"/>
        <v>6</v>
      </c>
      <c r="AZ37" s="107">
        <f t="shared" si="18"/>
        <v>0</v>
      </c>
      <c r="BA37" s="368">
        <f>IF(AND($W37&gt;$P$100, SUM($AR$17:AR36)&gt;0,SUM($BA$17:BA36)&lt;$P$96),$P$99,0)</f>
        <v>51.75</v>
      </c>
      <c r="BB37" s="107">
        <f>IF(SUM($AR$18:$AR36)&gt;0,($P$96-SUM($BA$18:$BA36))*$F$100,0)</f>
        <v>7.0638750000000003</v>
      </c>
      <c r="BC37" s="108">
        <f t="shared" si="63"/>
        <v>147.81789528617423</v>
      </c>
      <c r="BD37" s="113">
        <f t="shared" si="64"/>
        <v>-147.81789528617423</v>
      </c>
      <c r="BE37" s="114">
        <f t="shared" si="65"/>
        <v>-70.334617179620381</v>
      </c>
      <c r="BF37" s="111"/>
      <c r="BG37" s="180">
        <f t="shared" si="52"/>
        <v>0.4758193657368287</v>
      </c>
      <c r="BI37" s="106">
        <f t="shared" si="20"/>
        <v>0</v>
      </c>
      <c r="BJ37" s="107">
        <f t="shared" si="21"/>
        <v>71.54636118117547</v>
      </c>
      <c r="BK37" s="107">
        <f t="shared" si="22"/>
        <v>11.457659104998749</v>
      </c>
      <c r="BL37" s="113">
        <f t="shared" si="66"/>
        <v>0</v>
      </c>
      <c r="BM37" s="113">
        <f t="shared" si="67"/>
        <v>0</v>
      </c>
      <c r="BN37" s="260">
        <f t="shared" si="23"/>
        <v>110</v>
      </c>
      <c r="BO37" s="260">
        <f t="shared" si="24"/>
        <v>50</v>
      </c>
      <c r="BP37" s="264">
        <f t="shared" si="55"/>
        <v>243.00402028617424</v>
      </c>
      <c r="BQ37" s="263">
        <f t="shared" si="25"/>
        <v>0</v>
      </c>
      <c r="BR37" s="263">
        <f t="shared" si="26"/>
        <v>0</v>
      </c>
      <c r="BS37" s="263">
        <f t="shared" si="27"/>
        <v>47.5</v>
      </c>
      <c r="BT37" s="263">
        <f t="shared" si="28"/>
        <v>7.8788646867500711</v>
      </c>
      <c r="BU37" s="263">
        <f t="shared" si="29"/>
        <v>3.2867311879542385</v>
      </c>
      <c r="BV37" s="263">
        <f t="shared" si="30"/>
        <v>12</v>
      </c>
      <c r="BW37" s="263">
        <f t="shared" si="31"/>
        <v>0</v>
      </c>
      <c r="BX37" s="260">
        <f t="shared" si="32"/>
        <v>0.18</v>
      </c>
      <c r="BY37" s="260">
        <f t="shared" si="56"/>
        <v>16.340546131970807</v>
      </c>
      <c r="BZ37" s="264">
        <f t="shared" si="33"/>
        <v>87.186142006675126</v>
      </c>
      <c r="CA37" s="264">
        <f t="shared" si="34"/>
        <v>159.10460946745334</v>
      </c>
      <c r="CB37" s="265"/>
      <c r="CC37" s="266">
        <f t="shared" si="35"/>
        <v>0</v>
      </c>
      <c r="CD37" s="263">
        <f t="shared" si="36"/>
        <v>-27.5</v>
      </c>
      <c r="CE37" s="263" cm="1">
        <f t="array" ref="CE37">SUM(BK37:BO37, -BS37:BX37, CC37:CD37)</f>
        <v>73.112063230294439</v>
      </c>
      <c r="CF37" s="260">
        <f t="shared" si="37"/>
        <v>-16.340546131970807</v>
      </c>
      <c r="CG37" s="261">
        <f t="shared" si="57"/>
        <v>56.771517098323628</v>
      </c>
      <c r="CH37" s="265"/>
      <c r="CI37" s="266">
        <f t="shared" si="38"/>
        <v>0</v>
      </c>
      <c r="CJ37" s="263">
        <f t="shared" si="39"/>
        <v>0</v>
      </c>
      <c r="CK37" s="263">
        <f t="shared" si="40"/>
        <v>0</v>
      </c>
      <c r="CL37" s="263">
        <f t="shared" si="58"/>
        <v>0</v>
      </c>
      <c r="CM37" s="263">
        <f t="shared" si="41"/>
        <v>-91.705568884405565</v>
      </c>
      <c r="CN37" s="263">
        <f t="shared" si="59"/>
        <v>977.43968884738649</v>
      </c>
      <c r="CO37" s="263">
        <f t="shared" si="60"/>
        <v>56.771517098323628</v>
      </c>
      <c r="CP37" s="263">
        <f t="shared" si="61"/>
        <v>-56.771517098323628</v>
      </c>
      <c r="CQ37" s="263">
        <f t="shared" si="62"/>
        <v>56.771517098323628</v>
      </c>
    </row>
    <row r="38" spans="2:95" ht="15.75" customHeight="1" x14ac:dyDescent="0.55000000000000004">
      <c r="C38" s="201"/>
      <c r="D38" s="201"/>
      <c r="E38" s="201"/>
      <c r="F38" s="201"/>
      <c r="J38" s="226" t="s">
        <v>163</v>
      </c>
      <c r="O38" s="21" t="s">
        <v>55</v>
      </c>
      <c r="P38" s="21" t="s">
        <v>98</v>
      </c>
      <c r="V38" s="294">
        <f t="shared" si="42"/>
        <v>53782</v>
      </c>
      <c r="W38" s="366">
        <f t="shared" si="43"/>
        <v>21</v>
      </c>
      <c r="X38" s="366" t="str">
        <f t="shared" si="44"/>
        <v>維持管理・運営期間</v>
      </c>
      <c r="Y38" s="106">
        <f t="shared" si="0"/>
        <v>0</v>
      </c>
      <c r="Z38" s="107">
        <f t="shared" si="1"/>
        <v>0</v>
      </c>
      <c r="AA38" s="107">
        <f t="shared" si="2"/>
        <v>0</v>
      </c>
      <c r="AB38" s="260">
        <f t="shared" si="3"/>
        <v>70</v>
      </c>
      <c r="AC38" s="260">
        <f t="shared" si="4"/>
        <v>0</v>
      </c>
      <c r="AD38" s="261">
        <f t="shared" si="45"/>
        <v>70</v>
      </c>
      <c r="AE38" s="262">
        <f t="shared" si="5"/>
        <v>0</v>
      </c>
      <c r="AF38" s="263">
        <f t="shared" si="6"/>
        <v>0</v>
      </c>
      <c r="AG38" s="107">
        <f t="shared" si="7"/>
        <v>47.5</v>
      </c>
      <c r="AH38" s="107">
        <f t="shared" si="46"/>
        <v>10</v>
      </c>
      <c r="AI38" s="368">
        <f>IF(AND($W38&gt;$O$100, SUM($AA$17:AA37)&gt;0,SUM($AI$17:AI37)&lt;$O$96),$O$99,0)</f>
        <v>64.125</v>
      </c>
      <c r="AJ38" s="107">
        <f>IF(SUM($AA$18:$AA37)&gt;0,($O$96-SUM($AI$18:$AI37))*$E$100,0)</f>
        <v>7.5026250000000001</v>
      </c>
      <c r="AK38" s="108">
        <f t="shared" si="8"/>
        <v>129.12762499999999</v>
      </c>
      <c r="AL38" s="113">
        <f t="shared" si="9"/>
        <v>-59.127624999999995</v>
      </c>
      <c r="AM38" s="109"/>
      <c r="AN38" s="114">
        <f t="shared" si="10"/>
        <v>-27.108448003269363</v>
      </c>
      <c r="AO38" s="110"/>
      <c r="AP38" s="112">
        <f t="shared" si="11"/>
        <v>0</v>
      </c>
      <c r="AQ38" s="113">
        <f t="shared" si="12"/>
        <v>0</v>
      </c>
      <c r="AR38" s="113">
        <f t="shared" si="13"/>
        <v>0</v>
      </c>
      <c r="AS38" s="247">
        <f t="shared" si="14"/>
        <v>0</v>
      </c>
      <c r="AT38" s="248">
        <f t="shared" si="15"/>
        <v>0</v>
      </c>
      <c r="AU38" s="107">
        <f t="shared" si="47"/>
        <v>0</v>
      </c>
      <c r="AV38" s="107">
        <f t="shared" si="16"/>
        <v>74.253246210104052</v>
      </c>
      <c r="AW38" s="107">
        <f t="shared" si="17"/>
        <v>8.7507740760701545</v>
      </c>
      <c r="AX38" s="107">
        <f t="shared" si="48"/>
        <v>0</v>
      </c>
      <c r="AY38" s="107">
        <f t="shared" si="49"/>
        <v>6</v>
      </c>
      <c r="AZ38" s="107">
        <f t="shared" si="18"/>
        <v>0</v>
      </c>
      <c r="BA38" s="368">
        <f>IF(AND($W38&gt;$P$100, SUM($AR$17:AR37)&gt;0,SUM($BA$17:BA37)&lt;$P$96),$P$99,0)</f>
        <v>51.75</v>
      </c>
      <c r="BB38" s="107">
        <f>IF(SUM($AR$18:$AR37)&gt;0,($P$96-SUM($BA$18:$BA37))*$F$100,0)</f>
        <v>6.0547500000000003</v>
      </c>
      <c r="BC38" s="108">
        <f t="shared" si="63"/>
        <v>146.80877028617422</v>
      </c>
      <c r="BD38" s="113">
        <f t="shared" si="64"/>
        <v>-146.80877028617422</v>
      </c>
      <c r="BE38" s="114">
        <f t="shared" si="65"/>
        <v>-67.307927820991807</v>
      </c>
      <c r="BF38" s="111"/>
      <c r="BG38" s="180">
        <f t="shared" si="52"/>
        <v>0.45847348009106342</v>
      </c>
      <c r="BI38" s="106">
        <f t="shared" si="20"/>
        <v>0</v>
      </c>
      <c r="BJ38" s="107">
        <f t="shared" si="21"/>
        <v>74.253246210104052</v>
      </c>
      <c r="BK38" s="107">
        <f t="shared" si="22"/>
        <v>8.7507740760701545</v>
      </c>
      <c r="BL38" s="113">
        <f t="shared" si="66"/>
        <v>0</v>
      </c>
      <c r="BM38" s="113">
        <f t="shared" si="67"/>
        <v>0</v>
      </c>
      <c r="BN38" s="260">
        <f t="shared" si="23"/>
        <v>110</v>
      </c>
      <c r="BO38" s="260">
        <f t="shared" si="24"/>
        <v>50</v>
      </c>
      <c r="BP38" s="264">
        <f t="shared" si="55"/>
        <v>243.00402028617421</v>
      </c>
      <c r="BQ38" s="263">
        <f t="shared" si="25"/>
        <v>0</v>
      </c>
      <c r="BR38" s="263">
        <f t="shared" si="26"/>
        <v>0</v>
      </c>
      <c r="BS38" s="263">
        <f t="shared" si="27"/>
        <v>47.5</v>
      </c>
      <c r="BT38" s="263">
        <f t="shared" si="28"/>
        <v>5.9895050991764371</v>
      </c>
      <c r="BU38" s="263">
        <f t="shared" si="29"/>
        <v>2.5044279114244281</v>
      </c>
      <c r="BV38" s="263">
        <f t="shared" si="30"/>
        <v>12</v>
      </c>
      <c r="BW38" s="263">
        <f t="shared" si="31"/>
        <v>0</v>
      </c>
      <c r="BX38" s="260">
        <f t="shared" si="32"/>
        <v>0.18</v>
      </c>
      <c r="BY38" s="260">
        <f t="shared" si="56"/>
        <v>16.332673978132387</v>
      </c>
      <c r="BZ38" s="264">
        <f t="shared" si="33"/>
        <v>84.506606988733267</v>
      </c>
      <c r="CA38" s="264">
        <f t="shared" si="34"/>
        <v>161.00184120886536</v>
      </c>
      <c r="CB38" s="265"/>
      <c r="CC38" s="266">
        <f t="shared" si="35"/>
        <v>0</v>
      </c>
      <c r="CD38" s="263">
        <f t="shared" si="36"/>
        <v>-27.5</v>
      </c>
      <c r="CE38" s="263" cm="1">
        <f t="array" ref="CE38">SUM(BK38:BO38, -BS38:BX38, CC38:CD38)</f>
        <v>73.076841065469296</v>
      </c>
      <c r="CF38" s="260">
        <f t="shared" si="37"/>
        <v>-16.332673978132387</v>
      </c>
      <c r="CG38" s="261">
        <f t="shared" si="57"/>
        <v>56.744167087336905</v>
      </c>
      <c r="CH38" s="265"/>
      <c r="CI38" s="266">
        <f t="shared" si="38"/>
        <v>0</v>
      </c>
      <c r="CJ38" s="263">
        <f t="shared" si="39"/>
        <v>0</v>
      </c>
      <c r="CK38" s="263">
        <f t="shared" si="40"/>
        <v>0</v>
      </c>
      <c r="CL38" s="263">
        <f t="shared" si="58"/>
        <v>0</v>
      </c>
      <c r="CM38" s="263">
        <f t="shared" si="41"/>
        <v>-94.377231748509004</v>
      </c>
      <c r="CN38" s="263">
        <f t="shared" si="59"/>
        <v>984.78835329799495</v>
      </c>
      <c r="CO38" s="263">
        <f t="shared" si="60"/>
        <v>56.744167087336905</v>
      </c>
      <c r="CP38" s="263">
        <f t="shared" si="61"/>
        <v>-56.744167087336905</v>
      </c>
      <c r="CQ38" s="263">
        <f t="shared" si="62"/>
        <v>56.744167087336905</v>
      </c>
    </row>
    <row r="39" spans="2:95" ht="15.75" customHeight="1" x14ac:dyDescent="0.45">
      <c r="B39" s="226" t="s">
        <v>163</v>
      </c>
      <c r="D39" s="21"/>
      <c r="J39" s="21"/>
      <c r="K39" s="119" t="s">
        <v>165</v>
      </c>
      <c r="N39" s="191" t="s">
        <v>25</v>
      </c>
      <c r="O39" s="169"/>
      <c r="P39" s="121">
        <f>SUM(F40:F42)</f>
        <v>3.7834E-2</v>
      </c>
      <c r="V39" s="294">
        <f t="shared" si="42"/>
        <v>54148</v>
      </c>
      <c r="W39" s="366">
        <f t="shared" si="43"/>
        <v>22</v>
      </c>
      <c r="X39" s="366" t="str">
        <f t="shared" si="44"/>
        <v>維持管理・運営期間</v>
      </c>
      <c r="Y39" s="106">
        <f t="shared" si="0"/>
        <v>0</v>
      </c>
      <c r="Z39" s="107">
        <f t="shared" si="1"/>
        <v>0</v>
      </c>
      <c r="AA39" s="107">
        <f t="shared" si="2"/>
        <v>0</v>
      </c>
      <c r="AB39" s="260">
        <f t="shared" si="3"/>
        <v>70</v>
      </c>
      <c r="AC39" s="260">
        <f t="shared" si="4"/>
        <v>0</v>
      </c>
      <c r="AD39" s="261">
        <f t="shared" si="45"/>
        <v>70</v>
      </c>
      <c r="AE39" s="262">
        <f t="shared" si="5"/>
        <v>0</v>
      </c>
      <c r="AF39" s="263">
        <f t="shared" si="6"/>
        <v>0</v>
      </c>
      <c r="AG39" s="107">
        <f t="shared" si="7"/>
        <v>47.5</v>
      </c>
      <c r="AH39" s="107">
        <f t="shared" si="46"/>
        <v>10</v>
      </c>
      <c r="AI39" s="368">
        <f>IF(AND($W39&gt;$O$100, SUM($AA$17:AA38)&gt;0,SUM($AI$17:AI38)&lt;$O$96),$O$99,0)</f>
        <v>64.125</v>
      </c>
      <c r="AJ39" s="107">
        <f>IF(SUM($AA$18:$AA38)&gt;0,($O$96-SUM($AI$18:$AI38))*$E$100,0)</f>
        <v>6.2521874999999998</v>
      </c>
      <c r="AK39" s="108">
        <f t="shared" si="8"/>
        <v>127.87718750000001</v>
      </c>
      <c r="AL39" s="113">
        <f t="shared" si="9"/>
        <v>-57.877187500000005</v>
      </c>
      <c r="AM39" s="109"/>
      <c r="AN39" s="114">
        <f t="shared" si="10"/>
        <v>-25.567822571825552</v>
      </c>
      <c r="AO39" s="110"/>
      <c r="AP39" s="112">
        <f t="shared" si="11"/>
        <v>0</v>
      </c>
      <c r="AQ39" s="113">
        <f t="shared" si="12"/>
        <v>0</v>
      </c>
      <c r="AR39" s="113">
        <f t="shared" si="13"/>
        <v>0</v>
      </c>
      <c r="AS39" s="247">
        <f t="shared" si="14"/>
        <v>0</v>
      </c>
      <c r="AT39" s="248">
        <f t="shared" si="15"/>
        <v>0</v>
      </c>
      <c r="AU39" s="107">
        <f t="shared" si="47"/>
        <v>0</v>
      </c>
      <c r="AV39" s="107">
        <f t="shared" si="16"/>
        <v>77.06254352721713</v>
      </c>
      <c r="AW39" s="107">
        <f t="shared" si="17"/>
        <v>5.9414767589570774</v>
      </c>
      <c r="AX39" s="107">
        <f t="shared" si="48"/>
        <v>0</v>
      </c>
      <c r="AY39" s="107">
        <f t="shared" si="49"/>
        <v>6</v>
      </c>
      <c r="AZ39" s="107">
        <f t="shared" si="18"/>
        <v>0</v>
      </c>
      <c r="BA39" s="368">
        <f>IF(AND($W39&gt;$P$100, SUM($AR$17:AR38)&gt;0,SUM($BA$17:BA38)&lt;$P$96),$P$99,0)</f>
        <v>51.75</v>
      </c>
      <c r="BB39" s="107">
        <f>IF(SUM($AR$18:$AR38)&gt;0,($P$96-SUM($BA$18:$BA38))*$F$100,0)</f>
        <v>5.0456250000000002</v>
      </c>
      <c r="BC39" s="108">
        <f t="shared" si="63"/>
        <v>145.79964528617421</v>
      </c>
      <c r="BD39" s="113">
        <f t="shared" si="64"/>
        <v>-145.79964528617421</v>
      </c>
      <c r="BE39" s="114">
        <f t="shared" si="65"/>
        <v>-64.408441783941271</v>
      </c>
      <c r="BF39" s="111"/>
      <c r="BG39" s="180">
        <f t="shared" si="52"/>
        <v>0.44175993472083536</v>
      </c>
      <c r="BI39" s="106">
        <f t="shared" si="20"/>
        <v>0</v>
      </c>
      <c r="BJ39" s="107">
        <f t="shared" si="21"/>
        <v>77.06254352721713</v>
      </c>
      <c r="BK39" s="107">
        <f t="shared" si="22"/>
        <v>5.9414767589570774</v>
      </c>
      <c r="BL39" s="113">
        <f t="shared" si="66"/>
        <v>0</v>
      </c>
      <c r="BM39" s="113">
        <f t="shared" si="67"/>
        <v>0</v>
      </c>
      <c r="BN39" s="260">
        <f t="shared" si="23"/>
        <v>110</v>
      </c>
      <c r="BO39" s="260">
        <f t="shared" si="24"/>
        <v>50</v>
      </c>
      <c r="BP39" s="264">
        <f t="shared" si="55"/>
        <v>243.00402028617421</v>
      </c>
      <c r="BQ39" s="263">
        <f t="shared" si="25"/>
        <v>0</v>
      </c>
      <c r="BR39" s="263">
        <f t="shared" si="26"/>
        <v>0</v>
      </c>
      <c r="BS39" s="263">
        <f t="shared" si="27"/>
        <v>47.5</v>
      </c>
      <c r="BT39" s="263">
        <f t="shared" si="28"/>
        <v>4.0475570768422777</v>
      </c>
      <c r="BU39" s="263">
        <f t="shared" si="29"/>
        <v>1.6964384891130388</v>
      </c>
      <c r="BV39" s="263">
        <f t="shared" si="30"/>
        <v>12</v>
      </c>
      <c r="BW39" s="263">
        <f t="shared" si="31"/>
        <v>0</v>
      </c>
      <c r="BX39" s="260">
        <f t="shared" si="32"/>
        <v>0.18</v>
      </c>
      <c r="BY39" s="260">
        <f t="shared" si="56"/>
        <v>16.319407046635895</v>
      </c>
      <c r="BZ39" s="264">
        <f t="shared" si="33"/>
        <v>81.743402612591211</v>
      </c>
      <c r="CA39" s="264">
        <f t="shared" si="34"/>
        <v>162.95705616269603</v>
      </c>
      <c r="CB39" s="265"/>
      <c r="CC39" s="266">
        <f t="shared" si="35"/>
        <v>0</v>
      </c>
      <c r="CD39" s="263">
        <f t="shared" si="36"/>
        <v>-27.5</v>
      </c>
      <c r="CE39" s="263" cm="1">
        <f t="array" ref="CE39">SUM(BK39:BO39, -BS39:BX39, CC39:CD39)</f>
        <v>73.017481193001771</v>
      </c>
      <c r="CF39" s="260">
        <f t="shared" si="37"/>
        <v>-16.319407046635895</v>
      </c>
      <c r="CG39" s="261">
        <f t="shared" si="57"/>
        <v>56.698074146365876</v>
      </c>
      <c r="CH39" s="265"/>
      <c r="CI39" s="266">
        <f t="shared" si="38"/>
        <v>0</v>
      </c>
      <c r="CJ39" s="263">
        <f t="shared" si="39"/>
        <v>0</v>
      </c>
      <c r="CK39" s="263">
        <f t="shared" si="40"/>
        <v>0</v>
      </c>
      <c r="CL39" s="263">
        <f t="shared" si="58"/>
        <v>0</v>
      </c>
      <c r="CM39" s="263">
        <f t="shared" si="41"/>
        <v>-97.127169193154572</v>
      </c>
      <c r="CN39" s="263">
        <f t="shared" si="59"/>
        <v>992.17763469108661</v>
      </c>
      <c r="CO39" s="263">
        <f t="shared" si="60"/>
        <v>56.698074146365883</v>
      </c>
      <c r="CP39" s="263">
        <f t="shared" si="61"/>
        <v>-56.698074146365883</v>
      </c>
      <c r="CQ39" s="263">
        <f t="shared" si="62"/>
        <v>56.698074146365883</v>
      </c>
    </row>
    <row r="40" spans="2:95" ht="15.75" customHeight="1" x14ac:dyDescent="0.55000000000000004">
      <c r="C40" s="119" t="s">
        <v>164</v>
      </c>
      <c r="D40" s="191" t="s">
        <v>25</v>
      </c>
      <c r="F40" s="323">
        <f>F114</f>
        <v>1.7833999999999999E-2</v>
      </c>
      <c r="J40" s="21"/>
      <c r="N40" s="21"/>
      <c r="V40" s="294">
        <f t="shared" si="42"/>
        <v>54513</v>
      </c>
      <c r="W40" s="366">
        <f t="shared" si="43"/>
        <v>23</v>
      </c>
      <c r="X40" s="366" t="str">
        <f t="shared" si="44"/>
        <v>維持管理・運営期間</v>
      </c>
      <c r="Y40" s="106">
        <f t="shared" si="0"/>
        <v>0</v>
      </c>
      <c r="Z40" s="107">
        <f t="shared" si="1"/>
        <v>0</v>
      </c>
      <c r="AA40" s="107">
        <f t="shared" si="2"/>
        <v>0</v>
      </c>
      <c r="AB40" s="260">
        <f t="shared" si="3"/>
        <v>70</v>
      </c>
      <c r="AC40" s="260">
        <f t="shared" si="4"/>
        <v>0</v>
      </c>
      <c r="AD40" s="261">
        <f t="shared" si="45"/>
        <v>70</v>
      </c>
      <c r="AE40" s="262">
        <f t="shared" si="5"/>
        <v>0</v>
      </c>
      <c r="AF40" s="263">
        <f t="shared" si="6"/>
        <v>0</v>
      </c>
      <c r="AG40" s="107">
        <f t="shared" si="7"/>
        <v>47.5</v>
      </c>
      <c r="AH40" s="107">
        <f t="shared" si="46"/>
        <v>10</v>
      </c>
      <c r="AI40" s="368">
        <f>IF(AND($W40&gt;$O$100, SUM($AA$17:AA39)&gt;0,SUM($AI$17:AI39)&lt;$O$96),$O$99,0)</f>
        <v>64.125</v>
      </c>
      <c r="AJ40" s="107">
        <f>IF(SUM($AA$18:$AA39)&gt;0,($O$96-SUM($AI$18:$AI39))*$E$100,0)</f>
        <v>5.0017500000000004</v>
      </c>
      <c r="AK40" s="108">
        <f t="shared" si="8"/>
        <v>126.62675</v>
      </c>
      <c r="AL40" s="113">
        <f t="shared" si="9"/>
        <v>-56.626750000000001</v>
      </c>
      <c r="AM40" s="109"/>
      <c r="AN40" s="114">
        <f t="shared" si="10"/>
        <v>-24.103497653240371</v>
      </c>
      <c r="AO40" s="110"/>
      <c r="AP40" s="112">
        <f t="shared" si="11"/>
        <v>0</v>
      </c>
      <c r="AQ40" s="113">
        <f t="shared" si="12"/>
        <v>0</v>
      </c>
      <c r="AR40" s="113">
        <f t="shared" si="13"/>
        <v>0</v>
      </c>
      <c r="AS40" s="247">
        <f t="shared" si="14"/>
        <v>0</v>
      </c>
      <c r="AT40" s="248">
        <f t="shared" si="15"/>
        <v>0</v>
      </c>
      <c r="AU40" s="107">
        <f t="shared" si="47"/>
        <v>0</v>
      </c>
      <c r="AV40" s="107">
        <f t="shared" si="16"/>
        <v>79.97812779902587</v>
      </c>
      <c r="AW40" s="107">
        <f t="shared" si="17"/>
        <v>3.0258924871483446</v>
      </c>
      <c r="AX40" s="107">
        <f t="shared" si="48"/>
        <v>0</v>
      </c>
      <c r="AY40" s="107">
        <f t="shared" si="49"/>
        <v>6</v>
      </c>
      <c r="AZ40" s="107">
        <f t="shared" si="18"/>
        <v>0</v>
      </c>
      <c r="BA40" s="368">
        <f>IF(AND($W40&gt;$P$100, SUM($AR$17:AR39)&gt;0,SUM($BA$17:BA39)&lt;$P$96),$P$99,0)</f>
        <v>51.75</v>
      </c>
      <c r="BB40" s="107">
        <f>IF(SUM($AR$18:$AR39)&gt;0,($P$96-SUM($BA$18:$BA39))*$F$100,0)</f>
        <v>4.0365000000000002</v>
      </c>
      <c r="BC40" s="108">
        <f t="shared" si="63"/>
        <v>144.7905202861742</v>
      </c>
      <c r="BD40" s="113">
        <f t="shared" si="64"/>
        <v>-144.7905202861742</v>
      </c>
      <c r="BE40" s="114">
        <f t="shared" si="65"/>
        <v>-61.63090705239577</v>
      </c>
      <c r="BF40" s="111"/>
      <c r="BG40" s="180">
        <f t="shared" si="52"/>
        <v>0.42565567780669683</v>
      </c>
      <c r="BI40" s="106">
        <f t="shared" si="20"/>
        <v>0</v>
      </c>
      <c r="BJ40" s="107">
        <f t="shared" si="21"/>
        <v>79.97812779902587</v>
      </c>
      <c r="BK40" s="107">
        <f t="shared" si="22"/>
        <v>3.0258924871483446</v>
      </c>
      <c r="BL40" s="113">
        <f t="shared" si="66"/>
        <v>0</v>
      </c>
      <c r="BM40" s="113">
        <f t="shared" si="67"/>
        <v>0</v>
      </c>
      <c r="BN40" s="260">
        <f t="shared" si="23"/>
        <v>110</v>
      </c>
      <c r="BO40" s="260">
        <f t="shared" si="24"/>
        <v>50</v>
      </c>
      <c r="BP40" s="264">
        <f t="shared" si="55"/>
        <v>243.00402028617421</v>
      </c>
      <c r="BQ40" s="263">
        <f t="shared" si="25"/>
        <v>0</v>
      </c>
      <c r="BR40" s="263">
        <f t="shared" si="26"/>
        <v>0</v>
      </c>
      <c r="BS40" s="263">
        <f t="shared" si="27"/>
        <v>47.5</v>
      </c>
      <c r="BT40" s="263">
        <f t="shared" si="28"/>
        <v>2.0515568732544702</v>
      </c>
      <c r="BU40" s="263">
        <f t="shared" si="29"/>
        <v>0.86191954210947685</v>
      </c>
      <c r="BV40" s="263">
        <f t="shared" si="30"/>
        <v>12</v>
      </c>
      <c r="BW40" s="263">
        <f t="shared" si="31"/>
        <v>0</v>
      </c>
      <c r="BX40" s="260">
        <f t="shared" si="32"/>
        <v>0.18</v>
      </c>
      <c r="BY40" s="260">
        <f t="shared" si="56"/>
        <v>16.30039499204381</v>
      </c>
      <c r="BZ40" s="264">
        <f t="shared" si="33"/>
        <v>78.893871407407758</v>
      </c>
      <c r="CA40" s="264">
        <f t="shared" si="34"/>
        <v>164.97206842087593</v>
      </c>
      <c r="CB40" s="265"/>
      <c r="CC40" s="266">
        <f t="shared" si="35"/>
        <v>0</v>
      </c>
      <c r="CD40" s="263">
        <f t="shared" si="36"/>
        <v>-27.5</v>
      </c>
      <c r="CE40" s="263" cm="1">
        <f t="array" ref="CE40">SUM(BK40:BO40, -BS40:BX40, CC40:CD40)</f>
        <v>72.932416071784374</v>
      </c>
      <c r="CF40" s="260">
        <f t="shared" si="37"/>
        <v>-16.30039499204381</v>
      </c>
      <c r="CG40" s="261">
        <f t="shared" si="57"/>
        <v>56.632021079740568</v>
      </c>
      <c r="CH40" s="265"/>
      <c r="CI40" s="266">
        <f t="shared" si="38"/>
        <v>0</v>
      </c>
      <c r="CJ40" s="263">
        <f t="shared" si="39"/>
        <v>0</v>
      </c>
      <c r="CK40" s="263">
        <f t="shared" si="40"/>
        <v>-393</v>
      </c>
      <c r="CL40" s="263">
        <f t="shared" si="58"/>
        <v>0</v>
      </c>
      <c r="CM40" s="263">
        <f t="shared" si="41"/>
        <v>-99.957688343745929</v>
      </c>
      <c r="CN40" s="263">
        <f t="shared" si="59"/>
        <v>606.63202107974121</v>
      </c>
      <c r="CO40" s="263">
        <f t="shared" si="60"/>
        <v>56.632021079740568</v>
      </c>
      <c r="CP40" s="263">
        <f t="shared" si="61"/>
        <v>-606.63202107974121</v>
      </c>
      <c r="CQ40" s="263">
        <f t="shared" si="62"/>
        <v>999.63202107974121</v>
      </c>
    </row>
    <row r="41" spans="2:95" ht="15.75" customHeight="1" x14ac:dyDescent="0.55000000000000004">
      <c r="C41" s="119" t="s">
        <v>166</v>
      </c>
      <c r="D41" s="191" t="s">
        <v>25</v>
      </c>
      <c r="F41" s="323">
        <f>F115</f>
        <v>0.01</v>
      </c>
      <c r="J41" s="21"/>
      <c r="N41" s="21"/>
      <c r="V41" s="294">
        <f t="shared" si="42"/>
        <v>54878</v>
      </c>
      <c r="W41" s="366">
        <f t="shared" si="43"/>
        <v>24</v>
      </c>
      <c r="X41" s="366" t="str">
        <f t="shared" si="44"/>
        <v>-</v>
      </c>
      <c r="Y41" s="106">
        <f t="shared" si="0"/>
        <v>0</v>
      </c>
      <c r="Z41" s="107">
        <f t="shared" si="1"/>
        <v>0</v>
      </c>
      <c r="AA41" s="107">
        <f t="shared" si="2"/>
        <v>0</v>
      </c>
      <c r="AB41" s="260">
        <f t="shared" si="3"/>
        <v>0</v>
      </c>
      <c r="AC41" s="260">
        <f t="shared" si="4"/>
        <v>0</v>
      </c>
      <c r="AD41" s="261">
        <f t="shared" si="45"/>
        <v>0</v>
      </c>
      <c r="AE41" s="262">
        <f t="shared" si="5"/>
        <v>0</v>
      </c>
      <c r="AF41" s="263">
        <f t="shared" si="6"/>
        <v>0</v>
      </c>
      <c r="AG41" s="107">
        <f t="shared" si="7"/>
        <v>0</v>
      </c>
      <c r="AH41" s="107">
        <f t="shared" si="46"/>
        <v>0</v>
      </c>
      <c r="AI41" s="368">
        <f>IF(AND($W41&gt;$O$100, SUM($AA$17:AA40)&gt;0,SUM($AI$17:AI40)&lt;$O$96),$O$99,0)</f>
        <v>64.125</v>
      </c>
      <c r="AJ41" s="107">
        <f>IF(SUM($AA$18:$AA40)&gt;0,($O$96-SUM($AI$18:$AI40))*$E$100,0)</f>
        <v>3.7513125</v>
      </c>
      <c r="AK41" s="108">
        <f t="shared" si="8"/>
        <v>67.876312499999997</v>
      </c>
      <c r="AL41" s="113">
        <f t="shared" si="9"/>
        <v>-67.876312499999997</v>
      </c>
      <c r="AM41" s="109"/>
      <c r="AN41" s="114">
        <f t="shared" si="10"/>
        <v>-27.838688850246445</v>
      </c>
      <c r="AO41" s="110"/>
      <c r="AP41" s="112">
        <f t="shared" si="11"/>
        <v>0</v>
      </c>
      <c r="AQ41" s="113">
        <f t="shared" si="12"/>
        <v>0</v>
      </c>
      <c r="AR41" s="113">
        <f t="shared" si="13"/>
        <v>0</v>
      </c>
      <c r="AS41" s="247">
        <f t="shared" si="14"/>
        <v>0</v>
      </c>
      <c r="AT41" s="248">
        <f t="shared" si="15"/>
        <v>0</v>
      </c>
      <c r="AU41" s="107">
        <f t="shared" si="47"/>
        <v>0</v>
      </c>
      <c r="AV41" s="107">
        <f t="shared" si="16"/>
        <v>0</v>
      </c>
      <c r="AW41" s="107">
        <f t="shared" si="17"/>
        <v>0</v>
      </c>
      <c r="AX41" s="107">
        <f t="shared" si="48"/>
        <v>0</v>
      </c>
      <c r="AY41" s="107">
        <f t="shared" si="49"/>
        <v>0</v>
      </c>
      <c r="AZ41" s="107">
        <f t="shared" si="18"/>
        <v>0</v>
      </c>
      <c r="BA41" s="368">
        <f>IF(AND($W41&gt;$P$100, SUM($AR$17:AR40)&gt;0,SUM($BA$17:BA40)&lt;$P$96),$P$99,0)</f>
        <v>51.75</v>
      </c>
      <c r="BB41" s="107">
        <f>IF(SUM($AR$18:$AR40)&gt;0,($P$96-SUM($BA$18:$BA40))*$F$100,0)</f>
        <v>3.0273750000000001</v>
      </c>
      <c r="BC41" s="108">
        <f t="shared" si="63"/>
        <v>54.777374999999999</v>
      </c>
      <c r="BD41" s="113">
        <f t="shared" si="64"/>
        <v>-54.777374999999999</v>
      </c>
      <c r="BE41" s="114">
        <f t="shared" si="65"/>
        <v>-22.466310300198884</v>
      </c>
      <c r="BF41" s="111"/>
      <c r="BG41" s="180">
        <f t="shared" si="52"/>
        <v>0.41013849787798129</v>
      </c>
      <c r="BI41" s="106">
        <f t="shared" si="20"/>
        <v>0</v>
      </c>
      <c r="BJ41" s="107">
        <f t="shared" si="21"/>
        <v>0</v>
      </c>
      <c r="BK41" s="107">
        <f t="shared" si="22"/>
        <v>0</v>
      </c>
      <c r="BL41" s="113">
        <f t="shared" si="66"/>
        <v>0</v>
      </c>
      <c r="BM41" s="113">
        <f t="shared" si="67"/>
        <v>0</v>
      </c>
      <c r="BN41" s="260">
        <f t="shared" si="23"/>
        <v>0</v>
      </c>
      <c r="BO41" s="260">
        <f t="shared" si="24"/>
        <v>0</v>
      </c>
      <c r="BP41" s="264">
        <f t="shared" si="55"/>
        <v>0</v>
      </c>
      <c r="BQ41" s="263">
        <f t="shared" si="25"/>
        <v>0</v>
      </c>
      <c r="BR41" s="263">
        <f t="shared" si="26"/>
        <v>0</v>
      </c>
      <c r="BS41" s="263">
        <f t="shared" si="27"/>
        <v>0</v>
      </c>
      <c r="BT41" s="263">
        <f t="shared" si="28"/>
        <v>0</v>
      </c>
      <c r="BU41" s="263">
        <f t="shared" si="29"/>
        <v>0</v>
      </c>
      <c r="BV41" s="263">
        <f t="shared" si="30"/>
        <v>0</v>
      </c>
      <c r="BW41" s="263">
        <f t="shared" si="31"/>
        <v>0</v>
      </c>
      <c r="BX41" s="260">
        <f t="shared" si="32"/>
        <v>0</v>
      </c>
      <c r="BY41" s="260">
        <f t="shared" si="56"/>
        <v>0</v>
      </c>
      <c r="BZ41" s="264">
        <f t="shared" si="33"/>
        <v>0</v>
      </c>
      <c r="CA41" s="264">
        <f t="shared" si="34"/>
        <v>0</v>
      </c>
      <c r="CB41" s="265"/>
      <c r="CC41" s="266">
        <f t="shared" si="35"/>
        <v>0</v>
      </c>
      <c r="CD41" s="263">
        <f t="shared" si="36"/>
        <v>0</v>
      </c>
      <c r="CE41" s="263" cm="1">
        <f t="array" ref="CE41">SUM(BK41:BO41, -BS41:BX41, CC41:CD41)</f>
        <v>0</v>
      </c>
      <c r="CF41" s="260">
        <f t="shared" si="37"/>
        <v>0</v>
      </c>
      <c r="CG41" s="261">
        <f t="shared" si="57"/>
        <v>0</v>
      </c>
      <c r="CH41" s="265"/>
      <c r="CI41" s="266">
        <f t="shared" si="38"/>
        <v>0</v>
      </c>
      <c r="CJ41" s="263">
        <f t="shared" si="39"/>
        <v>0</v>
      </c>
      <c r="CK41" s="263">
        <f t="shared" si="40"/>
        <v>0</v>
      </c>
      <c r="CL41" s="263">
        <f t="shared" si="58"/>
        <v>0</v>
      </c>
      <c r="CM41" s="263">
        <f t="shared" si="41"/>
        <v>0</v>
      </c>
      <c r="CN41" s="263">
        <f t="shared" si="59"/>
        <v>0</v>
      </c>
      <c r="CO41" s="263">
        <f t="shared" si="60"/>
        <v>-550.00000000000068</v>
      </c>
      <c r="CP41" s="263">
        <f t="shared" si="61"/>
        <v>0</v>
      </c>
      <c r="CQ41" s="263">
        <f t="shared" si="62"/>
        <v>0</v>
      </c>
    </row>
    <row r="42" spans="2:95" ht="15.75" customHeight="1" x14ac:dyDescent="0.45">
      <c r="C42" s="119" t="s">
        <v>167</v>
      </c>
      <c r="D42" s="191" t="s">
        <v>25</v>
      </c>
      <c r="F42" s="160">
        <v>0.01</v>
      </c>
      <c r="J42" s="21"/>
      <c r="N42" s="21"/>
      <c r="V42" s="294">
        <f t="shared" si="42"/>
        <v>55243</v>
      </c>
      <c r="W42" s="366">
        <f t="shared" si="43"/>
        <v>25</v>
      </c>
      <c r="X42" s="366" t="str">
        <f t="shared" si="44"/>
        <v>-</v>
      </c>
      <c r="Y42" s="106">
        <f t="shared" si="0"/>
        <v>0</v>
      </c>
      <c r="Z42" s="107">
        <f t="shared" si="1"/>
        <v>0</v>
      </c>
      <c r="AA42" s="107">
        <f t="shared" si="2"/>
        <v>0</v>
      </c>
      <c r="AB42" s="260">
        <f t="shared" si="3"/>
        <v>0</v>
      </c>
      <c r="AC42" s="260">
        <f t="shared" si="4"/>
        <v>0</v>
      </c>
      <c r="AD42" s="261">
        <f t="shared" si="45"/>
        <v>0</v>
      </c>
      <c r="AE42" s="262">
        <f t="shared" si="5"/>
        <v>0</v>
      </c>
      <c r="AF42" s="263">
        <f t="shared" si="6"/>
        <v>0</v>
      </c>
      <c r="AG42" s="107">
        <f t="shared" si="7"/>
        <v>0</v>
      </c>
      <c r="AH42" s="107">
        <f t="shared" si="46"/>
        <v>0</v>
      </c>
      <c r="AI42" s="368">
        <f>IF(AND($W42&gt;$O$100, SUM($AA$17:AA41)&gt;0,SUM($AI$17:AI41)&lt;$O$96),$O$99,0)</f>
        <v>64.125</v>
      </c>
      <c r="AJ42" s="107">
        <f>IF(SUM($AA$18:$AA41)&gt;0,($O$96-SUM($AI$18:$AI41))*$E$100,0)</f>
        <v>2.5008750000000002</v>
      </c>
      <c r="AK42" s="108">
        <f t="shared" si="8"/>
        <v>66.625874999999994</v>
      </c>
      <c r="AL42" s="113">
        <f t="shared" si="9"/>
        <v>-66.625874999999994</v>
      </c>
      <c r="AM42" s="109"/>
      <c r="AN42" s="114">
        <f t="shared" si="10"/>
        <v>-26.329679209108726</v>
      </c>
      <c r="AO42" s="110"/>
      <c r="AP42" s="112">
        <f t="shared" si="11"/>
        <v>0</v>
      </c>
      <c r="AQ42" s="113">
        <f t="shared" si="12"/>
        <v>0</v>
      </c>
      <c r="AR42" s="113">
        <f t="shared" si="13"/>
        <v>0</v>
      </c>
      <c r="AS42" s="247">
        <f t="shared" si="14"/>
        <v>0</v>
      </c>
      <c r="AT42" s="248">
        <f t="shared" si="15"/>
        <v>0</v>
      </c>
      <c r="AU42" s="107">
        <f t="shared" si="47"/>
        <v>0</v>
      </c>
      <c r="AV42" s="107">
        <f t="shared" si="16"/>
        <v>0</v>
      </c>
      <c r="AW42" s="107">
        <f t="shared" si="17"/>
        <v>0</v>
      </c>
      <c r="AX42" s="107">
        <f t="shared" si="48"/>
        <v>0</v>
      </c>
      <c r="AY42" s="107">
        <f t="shared" si="49"/>
        <v>0</v>
      </c>
      <c r="AZ42" s="107">
        <f t="shared" si="18"/>
        <v>0</v>
      </c>
      <c r="BA42" s="368">
        <f>IF(AND($W42&gt;$P$100, SUM($AR$17:AR41)&gt;0,SUM($BA$17:BA41)&lt;$P$96),$P$99,0)</f>
        <v>51.75</v>
      </c>
      <c r="BB42" s="107">
        <f>IF(SUM($AR$18:$AR41)&gt;0,($P$96-SUM($BA$18:$BA41))*$F$100,0)</f>
        <v>2.0182500000000001</v>
      </c>
      <c r="BC42" s="108">
        <f t="shared" si="63"/>
        <v>53.768250000000002</v>
      </c>
      <c r="BD42" s="113">
        <f t="shared" si="64"/>
        <v>-53.768250000000002</v>
      </c>
      <c r="BE42" s="114">
        <f t="shared" si="65"/>
        <v>-21.248513045947394</v>
      </c>
      <c r="BF42" s="125"/>
      <c r="BG42" s="180">
        <f t="shared" si="52"/>
        <v>0.39518699317808176</v>
      </c>
      <c r="BI42" s="106">
        <f t="shared" si="20"/>
        <v>0</v>
      </c>
      <c r="BJ42" s="107">
        <f t="shared" si="21"/>
        <v>0</v>
      </c>
      <c r="BK42" s="107">
        <f t="shared" si="22"/>
        <v>0</v>
      </c>
      <c r="BL42" s="113">
        <f t="shared" si="66"/>
        <v>0</v>
      </c>
      <c r="BM42" s="113">
        <f t="shared" si="67"/>
        <v>0</v>
      </c>
      <c r="BN42" s="260">
        <f t="shared" si="23"/>
        <v>0</v>
      </c>
      <c r="BO42" s="260">
        <f t="shared" si="24"/>
        <v>0</v>
      </c>
      <c r="BP42" s="264">
        <f t="shared" si="55"/>
        <v>0</v>
      </c>
      <c r="BQ42" s="263">
        <f t="shared" si="25"/>
        <v>0</v>
      </c>
      <c r="BR42" s="263">
        <f t="shared" si="26"/>
        <v>0</v>
      </c>
      <c r="BS42" s="263">
        <f t="shared" si="27"/>
        <v>0</v>
      </c>
      <c r="BT42" s="263">
        <f t="shared" si="28"/>
        <v>0</v>
      </c>
      <c r="BU42" s="263">
        <f t="shared" si="29"/>
        <v>0</v>
      </c>
      <c r="BV42" s="263">
        <f t="shared" si="30"/>
        <v>0</v>
      </c>
      <c r="BW42" s="263">
        <f t="shared" si="31"/>
        <v>0</v>
      </c>
      <c r="BX42" s="260">
        <f t="shared" si="32"/>
        <v>0</v>
      </c>
      <c r="BY42" s="260">
        <f t="shared" si="56"/>
        <v>0</v>
      </c>
      <c r="BZ42" s="264">
        <f t="shared" si="33"/>
        <v>0</v>
      </c>
      <c r="CA42" s="264">
        <f t="shared" si="34"/>
        <v>0</v>
      </c>
      <c r="CB42" s="265"/>
      <c r="CC42" s="266">
        <f t="shared" si="35"/>
        <v>0</v>
      </c>
      <c r="CD42" s="263">
        <f t="shared" si="36"/>
        <v>0</v>
      </c>
      <c r="CE42" s="263" cm="1">
        <f t="array" ref="CE42">SUM(BK42:BO42, -BS42:BX42, CC42:CD42)</f>
        <v>0</v>
      </c>
      <c r="CF42" s="260">
        <f t="shared" si="37"/>
        <v>0</v>
      </c>
      <c r="CG42" s="261">
        <f t="shared" si="57"/>
        <v>0</v>
      </c>
      <c r="CH42" s="265"/>
      <c r="CI42" s="266">
        <f t="shared" si="38"/>
        <v>0</v>
      </c>
      <c r="CJ42" s="263">
        <f t="shared" si="39"/>
        <v>0</v>
      </c>
      <c r="CK42" s="263">
        <f t="shared" si="40"/>
        <v>0</v>
      </c>
      <c r="CL42" s="263">
        <f t="shared" si="58"/>
        <v>0</v>
      </c>
      <c r="CM42" s="263">
        <f t="shared" si="41"/>
        <v>0</v>
      </c>
      <c r="CN42" s="263">
        <f t="shared" si="59"/>
        <v>0</v>
      </c>
      <c r="CO42" s="263">
        <f t="shared" si="60"/>
        <v>-550.00000000000068</v>
      </c>
      <c r="CP42" s="263">
        <f t="shared" si="61"/>
        <v>0</v>
      </c>
      <c r="CQ42" s="263">
        <f t="shared" si="62"/>
        <v>0</v>
      </c>
    </row>
    <row r="43" spans="2:95" ht="15.75" customHeight="1" x14ac:dyDescent="0.55000000000000004">
      <c r="C43" s="182"/>
      <c r="D43" s="21"/>
      <c r="J43" s="21"/>
      <c r="N43" s="21"/>
      <c r="V43" s="294">
        <f t="shared" si="42"/>
        <v>55609</v>
      </c>
      <c r="W43" s="366">
        <f t="shared" si="43"/>
        <v>26</v>
      </c>
      <c r="X43" s="366" t="str">
        <f t="shared" si="44"/>
        <v>-</v>
      </c>
      <c r="Y43" s="106">
        <f t="shared" si="0"/>
        <v>0</v>
      </c>
      <c r="Z43" s="107">
        <f t="shared" si="1"/>
        <v>0</v>
      </c>
      <c r="AA43" s="107">
        <f t="shared" si="2"/>
        <v>0</v>
      </c>
      <c r="AB43" s="260">
        <f t="shared" si="3"/>
        <v>0</v>
      </c>
      <c r="AC43" s="260">
        <f t="shared" si="4"/>
        <v>0</v>
      </c>
      <c r="AD43" s="261">
        <f t="shared" si="45"/>
        <v>0</v>
      </c>
      <c r="AE43" s="262">
        <f t="shared" si="5"/>
        <v>0</v>
      </c>
      <c r="AF43" s="263">
        <f t="shared" si="6"/>
        <v>0</v>
      </c>
      <c r="AG43" s="107">
        <f t="shared" si="7"/>
        <v>0</v>
      </c>
      <c r="AH43" s="107">
        <f t="shared" si="46"/>
        <v>0</v>
      </c>
      <c r="AI43" s="368">
        <f>IF(AND($W43&gt;$O$100, SUM($AA$17:AA42)&gt;0,SUM($AI$17:AI42)&lt;$O$96),$O$99,0)</f>
        <v>64.125</v>
      </c>
      <c r="AJ43" s="107">
        <f>IF(SUM($AA$18:$AA42)&gt;0,($O$96-SUM($AI$18:$AI42))*$E$100,0)</f>
        <v>1.2504375000000001</v>
      </c>
      <c r="AK43" s="108">
        <f t="shared" si="8"/>
        <v>65.375437500000004</v>
      </c>
      <c r="AL43" s="113">
        <f t="shared" si="9"/>
        <v>-65.375437500000004</v>
      </c>
      <c r="AM43" s="109"/>
      <c r="AN43" s="114">
        <f t="shared" si="10"/>
        <v>-24.893694534315326</v>
      </c>
      <c r="AO43" s="110"/>
      <c r="AP43" s="112">
        <f t="shared" si="11"/>
        <v>0</v>
      </c>
      <c r="AQ43" s="113">
        <f t="shared" si="12"/>
        <v>0</v>
      </c>
      <c r="AR43" s="113">
        <f t="shared" si="13"/>
        <v>0</v>
      </c>
      <c r="AS43" s="247">
        <f t="shared" si="14"/>
        <v>0</v>
      </c>
      <c r="AT43" s="248">
        <f t="shared" si="15"/>
        <v>0</v>
      </c>
      <c r="AU43" s="107">
        <f t="shared" si="47"/>
        <v>0</v>
      </c>
      <c r="AV43" s="107">
        <f t="shared" si="16"/>
        <v>0</v>
      </c>
      <c r="AW43" s="107">
        <f t="shared" si="17"/>
        <v>0</v>
      </c>
      <c r="AX43" s="107">
        <f t="shared" si="48"/>
        <v>0</v>
      </c>
      <c r="AY43" s="107">
        <f t="shared" si="49"/>
        <v>0</v>
      </c>
      <c r="AZ43" s="107">
        <f t="shared" si="18"/>
        <v>0</v>
      </c>
      <c r="BA43" s="368">
        <f>IF(AND($W43&gt;$P$100, SUM($AR$17:AR42)&gt;0,SUM($BA$17:BA42)&lt;$P$96),$P$99,0)</f>
        <v>51.75</v>
      </c>
      <c r="BB43" s="107">
        <f>IF(SUM($AR$18:$AR42)&gt;0,($P$96-SUM($BA$18:$BA42))*$F$100,0)</f>
        <v>1.009125</v>
      </c>
      <c r="BC43" s="108">
        <f t="shared" si="63"/>
        <v>52.759124999999997</v>
      </c>
      <c r="BD43" s="113">
        <f t="shared" si="64"/>
        <v>-52.759124999999997</v>
      </c>
      <c r="BE43" s="114">
        <f t="shared" si="65"/>
        <v>-20.089648220675524</v>
      </c>
      <c r="BF43" s="125"/>
      <c r="BG43" s="180">
        <f t="shared" si="52"/>
        <v>0.38078054214651069</v>
      </c>
      <c r="BI43" s="106">
        <f t="shared" si="20"/>
        <v>0</v>
      </c>
      <c r="BJ43" s="107">
        <f t="shared" si="21"/>
        <v>0</v>
      </c>
      <c r="BK43" s="107">
        <f t="shared" si="22"/>
        <v>0</v>
      </c>
      <c r="BL43" s="113">
        <f t="shared" si="66"/>
        <v>0</v>
      </c>
      <c r="BM43" s="113">
        <f t="shared" si="67"/>
        <v>0</v>
      </c>
      <c r="BN43" s="260">
        <f t="shared" si="23"/>
        <v>0</v>
      </c>
      <c r="BO43" s="260">
        <f t="shared" si="24"/>
        <v>0</v>
      </c>
      <c r="BP43" s="264">
        <f t="shared" si="55"/>
        <v>0</v>
      </c>
      <c r="BQ43" s="263">
        <f t="shared" si="25"/>
        <v>0</v>
      </c>
      <c r="BR43" s="263">
        <f t="shared" si="26"/>
        <v>0</v>
      </c>
      <c r="BS43" s="263">
        <f t="shared" si="27"/>
        <v>0</v>
      </c>
      <c r="BT43" s="263">
        <f t="shared" si="28"/>
        <v>0</v>
      </c>
      <c r="BU43" s="263">
        <f t="shared" si="29"/>
        <v>0</v>
      </c>
      <c r="BV43" s="263">
        <f t="shared" si="30"/>
        <v>0</v>
      </c>
      <c r="BW43" s="263">
        <f t="shared" si="31"/>
        <v>0</v>
      </c>
      <c r="BX43" s="260">
        <f t="shared" si="32"/>
        <v>0</v>
      </c>
      <c r="BY43" s="260">
        <f t="shared" si="56"/>
        <v>0</v>
      </c>
      <c r="BZ43" s="264">
        <f t="shared" si="33"/>
        <v>0</v>
      </c>
      <c r="CA43" s="264">
        <f t="shared" si="34"/>
        <v>0</v>
      </c>
      <c r="CB43" s="265"/>
      <c r="CC43" s="266">
        <f t="shared" si="35"/>
        <v>0</v>
      </c>
      <c r="CD43" s="263">
        <f t="shared" si="36"/>
        <v>0</v>
      </c>
      <c r="CE43" s="263" cm="1">
        <f t="array" ref="CE43">SUM(BK43:BO43, -BS43:BX43, CC43:CD43)</f>
        <v>0</v>
      </c>
      <c r="CF43" s="260">
        <f t="shared" si="37"/>
        <v>0</v>
      </c>
      <c r="CG43" s="261">
        <f t="shared" si="57"/>
        <v>0</v>
      </c>
      <c r="CH43" s="265"/>
      <c r="CI43" s="266">
        <f t="shared" si="38"/>
        <v>0</v>
      </c>
      <c r="CJ43" s="263">
        <f t="shared" si="39"/>
        <v>0</v>
      </c>
      <c r="CK43" s="263">
        <f t="shared" si="40"/>
        <v>0</v>
      </c>
      <c r="CL43" s="263">
        <f t="shared" si="58"/>
        <v>0</v>
      </c>
      <c r="CM43" s="263">
        <f t="shared" si="41"/>
        <v>0</v>
      </c>
      <c r="CN43" s="263">
        <f t="shared" si="59"/>
        <v>0</v>
      </c>
      <c r="CO43" s="263">
        <f t="shared" si="60"/>
        <v>-550.00000000000068</v>
      </c>
      <c r="CP43" s="263">
        <f t="shared" si="61"/>
        <v>0</v>
      </c>
      <c r="CQ43" s="263">
        <f t="shared" si="62"/>
        <v>0</v>
      </c>
    </row>
    <row r="44" spans="2:95" ht="15.75" customHeight="1" x14ac:dyDescent="0.45">
      <c r="C44" s="182"/>
      <c r="D44" s="197"/>
      <c r="E44" s="124"/>
      <c r="F44" s="161"/>
      <c r="V44" s="294">
        <f t="shared" si="42"/>
        <v>55974</v>
      </c>
      <c r="W44" s="366">
        <f t="shared" si="43"/>
        <v>27</v>
      </c>
      <c r="X44" s="366" t="str">
        <f t="shared" si="44"/>
        <v>-</v>
      </c>
      <c r="Y44" s="106">
        <f t="shared" si="0"/>
        <v>0</v>
      </c>
      <c r="Z44" s="107">
        <f t="shared" si="1"/>
        <v>0</v>
      </c>
      <c r="AA44" s="107">
        <f t="shared" si="2"/>
        <v>0</v>
      </c>
      <c r="AB44" s="260">
        <f t="shared" si="3"/>
        <v>0</v>
      </c>
      <c r="AC44" s="260">
        <f t="shared" si="4"/>
        <v>0</v>
      </c>
      <c r="AD44" s="261">
        <f t="shared" si="45"/>
        <v>0</v>
      </c>
      <c r="AE44" s="262">
        <f t="shared" si="5"/>
        <v>0</v>
      </c>
      <c r="AF44" s="263">
        <f t="shared" si="6"/>
        <v>0</v>
      </c>
      <c r="AG44" s="107">
        <f t="shared" si="7"/>
        <v>0</v>
      </c>
      <c r="AH44" s="107">
        <f t="shared" si="46"/>
        <v>0</v>
      </c>
      <c r="AI44" s="368">
        <f>IF(AND($W44&gt;$O$100, SUM($AA$17:AA43)&gt;0,SUM($AI$17:AI43)&lt;$O$96),$O$99,0)</f>
        <v>0</v>
      </c>
      <c r="AJ44" s="107">
        <f>IF(SUM($AA$18:$AA43)&gt;0,($O$96-SUM($AI$18:$AI43))*$E$100,0)</f>
        <v>0</v>
      </c>
      <c r="AK44" s="108">
        <f t="shared" si="8"/>
        <v>0</v>
      </c>
      <c r="AL44" s="113">
        <f t="shared" si="9"/>
        <v>0</v>
      </c>
      <c r="AM44" s="109"/>
      <c r="AN44" s="114">
        <f t="shared" si="10"/>
        <v>0</v>
      </c>
      <c r="AO44" s="110"/>
      <c r="AP44" s="112">
        <f t="shared" si="11"/>
        <v>0</v>
      </c>
      <c r="AQ44" s="113">
        <f t="shared" si="12"/>
        <v>0</v>
      </c>
      <c r="AR44" s="113">
        <f t="shared" si="13"/>
        <v>0</v>
      </c>
      <c r="AS44" s="247">
        <f t="shared" si="14"/>
        <v>0</v>
      </c>
      <c r="AT44" s="248">
        <f t="shared" si="15"/>
        <v>0</v>
      </c>
      <c r="AU44" s="107">
        <f t="shared" si="47"/>
        <v>0</v>
      </c>
      <c r="AV44" s="107">
        <f t="shared" si="16"/>
        <v>0</v>
      </c>
      <c r="AW44" s="107">
        <f t="shared" si="17"/>
        <v>0</v>
      </c>
      <c r="AX44" s="107">
        <f t="shared" si="48"/>
        <v>0</v>
      </c>
      <c r="AY44" s="107">
        <f t="shared" si="49"/>
        <v>0</v>
      </c>
      <c r="AZ44" s="107">
        <f t="shared" si="18"/>
        <v>0</v>
      </c>
      <c r="BA44" s="368">
        <f>IF(AND($W44&gt;$P$100, SUM($AR$17:AR43)&gt;0,SUM($BA$17:BA43)&lt;$P$96),$P$99,0)</f>
        <v>0</v>
      </c>
      <c r="BB44" s="107">
        <f>IF(SUM($AR$18:$AR43)&gt;0,($P$96-SUM($BA$18:$BA43))*$F$100,0)</f>
        <v>0</v>
      </c>
      <c r="BC44" s="108">
        <f t="shared" si="63"/>
        <v>0</v>
      </c>
      <c r="BD44" s="113">
        <f t="shared" si="64"/>
        <v>0</v>
      </c>
      <c r="BE44" s="114">
        <f t="shared" si="65"/>
        <v>0</v>
      </c>
      <c r="BF44" s="125"/>
      <c r="BG44" s="180">
        <f t="shared" si="52"/>
        <v>0.36689927497702979</v>
      </c>
      <c r="BI44" s="106">
        <f t="shared" si="20"/>
        <v>0</v>
      </c>
      <c r="BJ44" s="107">
        <f t="shared" si="21"/>
        <v>0</v>
      </c>
      <c r="BK44" s="107">
        <f t="shared" si="22"/>
        <v>0</v>
      </c>
      <c r="BL44" s="113">
        <f t="shared" si="66"/>
        <v>0</v>
      </c>
      <c r="BM44" s="113">
        <f t="shared" si="67"/>
        <v>0</v>
      </c>
      <c r="BN44" s="260">
        <f t="shared" si="23"/>
        <v>0</v>
      </c>
      <c r="BO44" s="260">
        <f t="shared" si="24"/>
        <v>0</v>
      </c>
      <c r="BP44" s="264">
        <f t="shared" si="55"/>
        <v>0</v>
      </c>
      <c r="BQ44" s="263">
        <f t="shared" si="25"/>
        <v>0</v>
      </c>
      <c r="BR44" s="263">
        <f t="shared" si="26"/>
        <v>0</v>
      </c>
      <c r="BS44" s="263">
        <f t="shared" si="27"/>
        <v>0</v>
      </c>
      <c r="BT44" s="263">
        <f t="shared" si="28"/>
        <v>0</v>
      </c>
      <c r="BU44" s="263">
        <f t="shared" si="29"/>
        <v>0</v>
      </c>
      <c r="BV44" s="263">
        <f t="shared" si="30"/>
        <v>0</v>
      </c>
      <c r="BW44" s="263">
        <f t="shared" si="31"/>
        <v>0</v>
      </c>
      <c r="BX44" s="260">
        <f t="shared" si="32"/>
        <v>0</v>
      </c>
      <c r="BY44" s="260">
        <f t="shared" si="56"/>
        <v>0</v>
      </c>
      <c r="BZ44" s="264">
        <f t="shared" si="33"/>
        <v>0</v>
      </c>
      <c r="CA44" s="264">
        <f t="shared" si="34"/>
        <v>0</v>
      </c>
      <c r="CB44" s="265"/>
      <c r="CC44" s="266">
        <f t="shared" si="35"/>
        <v>0</v>
      </c>
      <c r="CD44" s="263">
        <f t="shared" si="36"/>
        <v>0</v>
      </c>
      <c r="CE44" s="263" cm="1">
        <f t="array" ref="CE44">SUM(BK44:BO44, -BS44:BX44, CC44:CD44)</f>
        <v>0</v>
      </c>
      <c r="CF44" s="260">
        <f t="shared" si="37"/>
        <v>0</v>
      </c>
      <c r="CG44" s="261">
        <f t="shared" si="57"/>
        <v>0</v>
      </c>
      <c r="CH44" s="265"/>
      <c r="CI44" s="266">
        <f t="shared" si="38"/>
        <v>0</v>
      </c>
      <c r="CJ44" s="263">
        <f t="shared" si="39"/>
        <v>0</v>
      </c>
      <c r="CK44" s="263">
        <f t="shared" si="40"/>
        <v>0</v>
      </c>
      <c r="CL44" s="263">
        <f t="shared" si="58"/>
        <v>0</v>
      </c>
      <c r="CM44" s="263">
        <f t="shared" si="41"/>
        <v>0</v>
      </c>
      <c r="CN44" s="263">
        <f t="shared" si="59"/>
        <v>0</v>
      </c>
      <c r="CO44" s="263">
        <f t="shared" si="60"/>
        <v>-550.00000000000068</v>
      </c>
      <c r="CP44" s="263">
        <f t="shared" si="61"/>
        <v>0</v>
      </c>
      <c r="CQ44" s="263">
        <f t="shared" si="62"/>
        <v>0</v>
      </c>
    </row>
    <row r="45" spans="2:95" ht="15.75" customHeight="1" x14ac:dyDescent="0.45">
      <c r="B45" s="223" t="s">
        <v>168</v>
      </c>
      <c r="C45" s="119"/>
      <c r="D45" s="191" t="s">
        <v>21</v>
      </c>
      <c r="F45" s="184">
        <f>SUM(F46:F47)</f>
        <v>50</v>
      </c>
      <c r="J45" s="223" t="s">
        <v>168</v>
      </c>
      <c r="V45" s="294">
        <f t="shared" si="42"/>
        <v>56339</v>
      </c>
      <c r="W45" s="366">
        <f t="shared" si="43"/>
        <v>28</v>
      </c>
      <c r="X45" s="366" t="str">
        <f t="shared" si="44"/>
        <v>-</v>
      </c>
      <c r="Y45" s="106">
        <f t="shared" si="0"/>
        <v>0</v>
      </c>
      <c r="Z45" s="107">
        <f t="shared" si="1"/>
        <v>0</v>
      </c>
      <c r="AA45" s="107">
        <f t="shared" si="2"/>
        <v>0</v>
      </c>
      <c r="AB45" s="260">
        <f t="shared" si="3"/>
        <v>0</v>
      </c>
      <c r="AC45" s="260">
        <f t="shared" si="4"/>
        <v>0</v>
      </c>
      <c r="AD45" s="261">
        <f t="shared" si="45"/>
        <v>0</v>
      </c>
      <c r="AE45" s="262">
        <f t="shared" si="5"/>
        <v>0</v>
      </c>
      <c r="AF45" s="263">
        <f t="shared" si="6"/>
        <v>0</v>
      </c>
      <c r="AG45" s="107">
        <f t="shared" si="7"/>
        <v>0</v>
      </c>
      <c r="AH45" s="107">
        <f t="shared" si="46"/>
        <v>0</v>
      </c>
      <c r="AI45" s="368">
        <f>IF(AND($W45&gt;$O$100, SUM($AA$17:AA44)&gt;0,SUM($AI$17:AI44)&lt;$O$96),$O$99,0)</f>
        <v>0</v>
      </c>
      <c r="AJ45" s="107">
        <f>IF(SUM($AA$18:$AA44)&gt;0,($O$96-SUM($AI$18:$AI44))*$E$100,0)</f>
        <v>0</v>
      </c>
      <c r="AK45" s="108">
        <f t="shared" si="8"/>
        <v>0</v>
      </c>
      <c r="AL45" s="113">
        <f t="shared" si="9"/>
        <v>0</v>
      </c>
      <c r="AM45" s="109"/>
      <c r="AN45" s="114">
        <f t="shared" si="10"/>
        <v>0</v>
      </c>
      <c r="AO45" s="110"/>
      <c r="AP45" s="112">
        <f t="shared" si="11"/>
        <v>0</v>
      </c>
      <c r="AQ45" s="113">
        <f t="shared" si="12"/>
        <v>0</v>
      </c>
      <c r="AR45" s="113">
        <f t="shared" si="13"/>
        <v>0</v>
      </c>
      <c r="AS45" s="247">
        <f t="shared" si="14"/>
        <v>0</v>
      </c>
      <c r="AT45" s="248">
        <f t="shared" si="15"/>
        <v>0</v>
      </c>
      <c r="AU45" s="107">
        <f t="shared" si="47"/>
        <v>0</v>
      </c>
      <c r="AV45" s="107">
        <f t="shared" si="16"/>
        <v>0</v>
      </c>
      <c r="AW45" s="107">
        <f t="shared" si="17"/>
        <v>0</v>
      </c>
      <c r="AX45" s="107">
        <f t="shared" si="48"/>
        <v>0</v>
      </c>
      <c r="AY45" s="107">
        <f t="shared" si="49"/>
        <v>0</v>
      </c>
      <c r="AZ45" s="107">
        <f t="shared" si="18"/>
        <v>0</v>
      </c>
      <c r="BA45" s="368">
        <f>IF(AND($W45&gt;$P$100, SUM($AR$17:AR44)&gt;0,SUM($BA$17:BA44)&lt;$P$96),$P$99,0)</f>
        <v>0</v>
      </c>
      <c r="BB45" s="107">
        <f>IF(SUM($AR$18:$AR44)&gt;0,($P$96-SUM($BA$18:$BA44))*$F$100,0)</f>
        <v>0</v>
      </c>
      <c r="BC45" s="108">
        <f t="shared" si="63"/>
        <v>0</v>
      </c>
      <c r="BD45" s="113">
        <f t="shared" si="64"/>
        <v>0</v>
      </c>
      <c r="BE45" s="114">
        <f t="shared" si="65"/>
        <v>0</v>
      </c>
      <c r="BF45" s="125"/>
      <c r="BG45" s="180">
        <f t="shared" si="52"/>
        <v>0.35352404621262151</v>
      </c>
      <c r="BI45" s="106">
        <f t="shared" si="20"/>
        <v>0</v>
      </c>
      <c r="BJ45" s="107">
        <f t="shared" si="21"/>
        <v>0</v>
      </c>
      <c r="BK45" s="107">
        <f t="shared" si="22"/>
        <v>0</v>
      </c>
      <c r="BL45" s="113">
        <f t="shared" si="66"/>
        <v>0</v>
      </c>
      <c r="BM45" s="113">
        <f t="shared" si="67"/>
        <v>0</v>
      </c>
      <c r="BN45" s="260">
        <f t="shared" si="23"/>
        <v>0</v>
      </c>
      <c r="BO45" s="260">
        <f t="shared" si="24"/>
        <v>0</v>
      </c>
      <c r="BP45" s="264">
        <f t="shared" si="55"/>
        <v>0</v>
      </c>
      <c r="BQ45" s="263">
        <f t="shared" si="25"/>
        <v>0</v>
      </c>
      <c r="BR45" s="263">
        <f t="shared" si="26"/>
        <v>0</v>
      </c>
      <c r="BS45" s="263">
        <f t="shared" si="27"/>
        <v>0</v>
      </c>
      <c r="BT45" s="263">
        <f t="shared" si="28"/>
        <v>0</v>
      </c>
      <c r="BU45" s="263">
        <f t="shared" si="29"/>
        <v>0</v>
      </c>
      <c r="BV45" s="263">
        <f t="shared" si="30"/>
        <v>0</v>
      </c>
      <c r="BW45" s="263">
        <f t="shared" si="31"/>
        <v>0</v>
      </c>
      <c r="BX45" s="260">
        <f t="shared" si="32"/>
        <v>0</v>
      </c>
      <c r="BY45" s="260">
        <f t="shared" si="56"/>
        <v>0</v>
      </c>
      <c r="BZ45" s="264">
        <f t="shared" si="33"/>
        <v>0</v>
      </c>
      <c r="CA45" s="264">
        <f t="shared" si="34"/>
        <v>0</v>
      </c>
      <c r="CB45" s="265"/>
      <c r="CC45" s="266">
        <f t="shared" si="35"/>
        <v>0</v>
      </c>
      <c r="CD45" s="263">
        <f t="shared" si="36"/>
        <v>0</v>
      </c>
      <c r="CE45" s="263" cm="1">
        <f t="array" ref="CE45">SUM(BK45:BO45, -BS45:BX45, CC45:CD45)</f>
        <v>0</v>
      </c>
      <c r="CF45" s="260">
        <f t="shared" si="37"/>
        <v>0</v>
      </c>
      <c r="CG45" s="261">
        <f t="shared" si="57"/>
        <v>0</v>
      </c>
      <c r="CH45" s="265"/>
      <c r="CI45" s="266">
        <f t="shared" si="38"/>
        <v>0</v>
      </c>
      <c r="CJ45" s="263">
        <f t="shared" si="39"/>
        <v>0</v>
      </c>
      <c r="CK45" s="263">
        <f t="shared" si="40"/>
        <v>0</v>
      </c>
      <c r="CL45" s="263">
        <f t="shared" si="58"/>
        <v>0</v>
      </c>
      <c r="CM45" s="263">
        <f t="shared" si="41"/>
        <v>0</v>
      </c>
      <c r="CN45" s="263">
        <f t="shared" si="59"/>
        <v>0</v>
      </c>
      <c r="CO45" s="263">
        <f t="shared" si="60"/>
        <v>-550.00000000000068</v>
      </c>
      <c r="CP45" s="263">
        <f t="shared" si="61"/>
        <v>0</v>
      </c>
      <c r="CQ45" s="263">
        <f t="shared" si="62"/>
        <v>0</v>
      </c>
    </row>
    <row r="46" spans="2:95" ht="15.75" customHeight="1" x14ac:dyDescent="0.45">
      <c r="C46" s="119" t="s">
        <v>153</v>
      </c>
      <c r="D46" s="191" t="s">
        <v>21</v>
      </c>
      <c r="F46" s="156">
        <f>事業費用概算!G27</f>
        <v>0</v>
      </c>
      <c r="K46" s="21" t="s">
        <v>170</v>
      </c>
      <c r="N46" s="191" t="s">
        <v>21</v>
      </c>
      <c r="O46" s="189">
        <f>F45*F65</f>
        <v>47.5</v>
      </c>
      <c r="P46" s="91">
        <f>F45*(1-F67)</f>
        <v>47.5</v>
      </c>
      <c r="Q46" s="21" t="s">
        <v>155</v>
      </c>
      <c r="V46" s="294">
        <f t="shared" si="42"/>
        <v>56704</v>
      </c>
      <c r="W46" s="366">
        <f t="shared" si="43"/>
        <v>29</v>
      </c>
      <c r="X46" s="366" t="str">
        <f t="shared" si="44"/>
        <v>-</v>
      </c>
      <c r="Y46" s="106">
        <f t="shared" si="0"/>
        <v>0</v>
      </c>
      <c r="Z46" s="107">
        <f t="shared" si="1"/>
        <v>0</v>
      </c>
      <c r="AA46" s="107">
        <f t="shared" si="2"/>
        <v>0</v>
      </c>
      <c r="AB46" s="260">
        <f t="shared" si="3"/>
        <v>0</v>
      </c>
      <c r="AC46" s="260">
        <f t="shared" si="4"/>
        <v>0</v>
      </c>
      <c r="AD46" s="261">
        <f t="shared" si="45"/>
        <v>0</v>
      </c>
      <c r="AE46" s="262">
        <f t="shared" si="5"/>
        <v>0</v>
      </c>
      <c r="AF46" s="263">
        <f t="shared" si="6"/>
        <v>0</v>
      </c>
      <c r="AG46" s="107">
        <f t="shared" si="7"/>
        <v>0</v>
      </c>
      <c r="AH46" s="107">
        <f t="shared" si="46"/>
        <v>0</v>
      </c>
      <c r="AI46" s="368">
        <f>IF(AND($W46&gt;$O$100, SUM($AA$17:AA45)&gt;0,SUM($AI$17:AI45)&lt;$O$96),$O$99,0)</f>
        <v>0</v>
      </c>
      <c r="AJ46" s="107">
        <f>IF(SUM($AA$18:$AA45)&gt;0,($O$96-SUM($AI$18:$AI45))*$E$100,0)</f>
        <v>0</v>
      </c>
      <c r="AK46" s="108">
        <f t="shared" si="8"/>
        <v>0</v>
      </c>
      <c r="AL46" s="113">
        <f t="shared" si="9"/>
        <v>0</v>
      </c>
      <c r="AM46" s="109"/>
      <c r="AN46" s="114">
        <f t="shared" si="10"/>
        <v>0</v>
      </c>
      <c r="AO46" s="110"/>
      <c r="AP46" s="112">
        <f t="shared" si="11"/>
        <v>0</v>
      </c>
      <c r="AQ46" s="113">
        <f t="shared" si="12"/>
        <v>0</v>
      </c>
      <c r="AR46" s="113">
        <f t="shared" si="13"/>
        <v>0</v>
      </c>
      <c r="AS46" s="247">
        <f t="shared" si="14"/>
        <v>0</v>
      </c>
      <c r="AT46" s="248">
        <f t="shared" si="15"/>
        <v>0</v>
      </c>
      <c r="AU46" s="107">
        <f t="shared" si="47"/>
        <v>0</v>
      </c>
      <c r="AV46" s="107">
        <f t="shared" si="16"/>
        <v>0</v>
      </c>
      <c r="AW46" s="107">
        <f t="shared" si="17"/>
        <v>0</v>
      </c>
      <c r="AX46" s="107">
        <f t="shared" si="48"/>
        <v>0</v>
      </c>
      <c r="AY46" s="107">
        <f t="shared" si="49"/>
        <v>0</v>
      </c>
      <c r="AZ46" s="107">
        <f t="shared" si="18"/>
        <v>0</v>
      </c>
      <c r="BA46" s="368">
        <f>IF(AND($W46&gt;$P$100, SUM($AR$17:AR45)&gt;0,SUM($BA$17:BA45)&lt;$P$96),$P$99,0)</f>
        <v>0</v>
      </c>
      <c r="BB46" s="107">
        <f>IF(SUM($AR$18:$AR45)&gt;0,($P$96-SUM($BA$18:$BA45))*$F$100,0)</f>
        <v>0</v>
      </c>
      <c r="BC46" s="108">
        <f t="shared" si="63"/>
        <v>0</v>
      </c>
      <c r="BD46" s="113">
        <f t="shared" si="64"/>
        <v>0</v>
      </c>
      <c r="BE46" s="114">
        <f t="shared" si="65"/>
        <v>0</v>
      </c>
      <c r="BF46" s="125"/>
      <c r="BG46" s="180">
        <f t="shared" si="52"/>
        <v>0.3406364083395047</v>
      </c>
      <c r="BI46" s="106">
        <f t="shared" si="20"/>
        <v>0</v>
      </c>
      <c r="BJ46" s="107">
        <f t="shared" si="21"/>
        <v>0</v>
      </c>
      <c r="BK46" s="107">
        <f t="shared" si="22"/>
        <v>0</v>
      </c>
      <c r="BL46" s="113">
        <f t="shared" si="66"/>
        <v>0</v>
      </c>
      <c r="BM46" s="113">
        <f t="shared" si="67"/>
        <v>0</v>
      </c>
      <c r="BN46" s="260">
        <f t="shared" si="23"/>
        <v>0</v>
      </c>
      <c r="BO46" s="260">
        <f t="shared" si="24"/>
        <v>0</v>
      </c>
      <c r="BP46" s="264">
        <f t="shared" si="55"/>
        <v>0</v>
      </c>
      <c r="BQ46" s="263">
        <f t="shared" si="25"/>
        <v>0</v>
      </c>
      <c r="BR46" s="263">
        <f t="shared" si="26"/>
        <v>0</v>
      </c>
      <c r="BS46" s="263">
        <f t="shared" si="27"/>
        <v>0</v>
      </c>
      <c r="BT46" s="263">
        <f t="shared" si="28"/>
        <v>0</v>
      </c>
      <c r="BU46" s="263">
        <f t="shared" si="29"/>
        <v>0</v>
      </c>
      <c r="BV46" s="263">
        <f t="shared" si="30"/>
        <v>0</v>
      </c>
      <c r="BW46" s="263">
        <f t="shared" si="31"/>
        <v>0</v>
      </c>
      <c r="BX46" s="260">
        <f t="shared" si="32"/>
        <v>0</v>
      </c>
      <c r="BY46" s="260">
        <f t="shared" si="56"/>
        <v>0</v>
      </c>
      <c r="BZ46" s="264">
        <f t="shared" si="33"/>
        <v>0</v>
      </c>
      <c r="CA46" s="264">
        <f t="shared" si="34"/>
        <v>0</v>
      </c>
      <c r="CB46" s="265"/>
      <c r="CC46" s="266">
        <f t="shared" si="35"/>
        <v>0</v>
      </c>
      <c r="CD46" s="263">
        <f t="shared" si="36"/>
        <v>0</v>
      </c>
      <c r="CE46" s="263" cm="1">
        <f t="array" ref="CE46">SUM(BK46:BO46, -BS46:BX46, CC46:CD46)</f>
        <v>0</v>
      </c>
      <c r="CF46" s="260">
        <f t="shared" si="37"/>
        <v>0</v>
      </c>
      <c r="CG46" s="261">
        <f t="shared" si="57"/>
        <v>0</v>
      </c>
      <c r="CH46" s="265"/>
      <c r="CI46" s="266">
        <f t="shared" si="38"/>
        <v>0</v>
      </c>
      <c r="CJ46" s="263">
        <f t="shared" si="39"/>
        <v>0</v>
      </c>
      <c r="CK46" s="263">
        <f t="shared" si="40"/>
        <v>0</v>
      </c>
      <c r="CL46" s="263">
        <f t="shared" si="58"/>
        <v>0</v>
      </c>
      <c r="CM46" s="263">
        <f t="shared" si="41"/>
        <v>0</v>
      </c>
      <c r="CN46" s="263">
        <f t="shared" si="59"/>
        <v>0</v>
      </c>
      <c r="CO46" s="263">
        <f t="shared" si="60"/>
        <v>-550.00000000000068</v>
      </c>
      <c r="CP46" s="263">
        <f t="shared" si="61"/>
        <v>0</v>
      </c>
      <c r="CQ46" s="263">
        <f t="shared" si="62"/>
        <v>0</v>
      </c>
    </row>
    <row r="47" spans="2:95" ht="15.75" customHeight="1" x14ac:dyDescent="0.45">
      <c r="C47" s="119" t="s">
        <v>156</v>
      </c>
      <c r="D47" s="191" t="s">
        <v>21</v>
      </c>
      <c r="F47" s="156">
        <f>事業費用概算!G28</f>
        <v>50</v>
      </c>
      <c r="K47" s="21" t="s">
        <v>172</v>
      </c>
      <c r="N47" s="191" t="s">
        <v>21</v>
      </c>
      <c r="O47" s="169"/>
      <c r="P47" s="143">
        <f>F77</f>
        <v>110</v>
      </c>
      <c r="Q47" s="21" t="s">
        <v>274</v>
      </c>
      <c r="V47" s="294">
        <f t="shared" si="42"/>
        <v>57070</v>
      </c>
      <c r="W47" s="366">
        <f t="shared" si="43"/>
        <v>30</v>
      </c>
      <c r="X47" s="366" t="str">
        <f t="shared" si="44"/>
        <v>-</v>
      </c>
      <c r="Y47" s="106">
        <f t="shared" si="0"/>
        <v>0</v>
      </c>
      <c r="Z47" s="107">
        <f t="shared" si="1"/>
        <v>0</v>
      </c>
      <c r="AA47" s="107">
        <f t="shared" si="2"/>
        <v>0</v>
      </c>
      <c r="AB47" s="260">
        <f t="shared" si="3"/>
        <v>0</v>
      </c>
      <c r="AC47" s="260">
        <f t="shared" si="4"/>
        <v>0</v>
      </c>
      <c r="AD47" s="261">
        <f t="shared" si="45"/>
        <v>0</v>
      </c>
      <c r="AE47" s="262">
        <f t="shared" si="5"/>
        <v>0</v>
      </c>
      <c r="AF47" s="263">
        <f t="shared" si="6"/>
        <v>0</v>
      </c>
      <c r="AG47" s="107">
        <f t="shared" si="7"/>
        <v>0</v>
      </c>
      <c r="AH47" s="107">
        <f t="shared" si="46"/>
        <v>0</v>
      </c>
      <c r="AI47" s="368">
        <f>IF(AND($W47&gt;$O$100, SUM($AA$17:AA46)&gt;0,SUM($AI$17:AI46)&lt;$O$96),$O$99,0)</f>
        <v>0</v>
      </c>
      <c r="AJ47" s="107">
        <f>IF(SUM($AA$18:$AA46)&gt;0,($O$96-SUM($AI$18:$AI46))*$E$100,0)</f>
        <v>0</v>
      </c>
      <c r="AK47" s="108">
        <f t="shared" si="8"/>
        <v>0</v>
      </c>
      <c r="AL47" s="113">
        <f t="shared" si="9"/>
        <v>0</v>
      </c>
      <c r="AM47" s="109"/>
      <c r="AN47" s="114">
        <f t="shared" si="10"/>
        <v>0</v>
      </c>
      <c r="AO47" s="110"/>
      <c r="AP47" s="112">
        <f t="shared" si="11"/>
        <v>0</v>
      </c>
      <c r="AQ47" s="113">
        <f t="shared" si="12"/>
        <v>0</v>
      </c>
      <c r="AR47" s="113">
        <f t="shared" si="13"/>
        <v>0</v>
      </c>
      <c r="AS47" s="247">
        <f t="shared" si="14"/>
        <v>0</v>
      </c>
      <c r="AT47" s="248">
        <f t="shared" si="15"/>
        <v>0</v>
      </c>
      <c r="AU47" s="107">
        <f t="shared" si="47"/>
        <v>0</v>
      </c>
      <c r="AV47" s="107">
        <f t="shared" si="16"/>
        <v>0</v>
      </c>
      <c r="AW47" s="107">
        <f t="shared" si="17"/>
        <v>0</v>
      </c>
      <c r="AX47" s="107">
        <f t="shared" si="48"/>
        <v>0</v>
      </c>
      <c r="AY47" s="107">
        <f t="shared" si="49"/>
        <v>0</v>
      </c>
      <c r="AZ47" s="107">
        <f t="shared" si="18"/>
        <v>0</v>
      </c>
      <c r="BA47" s="368">
        <f>IF(AND($W47&gt;$P$100, SUM($AR$17:AR46)&gt;0,SUM($BA$17:BA46)&lt;$P$96),$P$99,0)</f>
        <v>0</v>
      </c>
      <c r="BB47" s="107">
        <f>IF(SUM($AR$18:$AR46)&gt;0,($P$96-SUM($BA$18:$BA46))*$F$100,0)</f>
        <v>0</v>
      </c>
      <c r="BC47" s="108">
        <f t="shared" si="63"/>
        <v>0</v>
      </c>
      <c r="BD47" s="113">
        <f t="shared" si="64"/>
        <v>0</v>
      </c>
      <c r="BE47" s="114">
        <f t="shared" si="65"/>
        <v>0</v>
      </c>
      <c r="BF47" s="125"/>
      <c r="BG47" s="181">
        <f t="shared" si="52"/>
        <v>0.32821858634377438</v>
      </c>
      <c r="BI47" s="106">
        <f t="shared" si="20"/>
        <v>0</v>
      </c>
      <c r="BJ47" s="107">
        <f t="shared" si="21"/>
        <v>0</v>
      </c>
      <c r="BK47" s="107">
        <f t="shared" si="22"/>
        <v>0</v>
      </c>
      <c r="BL47" s="113">
        <f t="shared" si="66"/>
        <v>0</v>
      </c>
      <c r="BM47" s="113">
        <f t="shared" si="67"/>
        <v>0</v>
      </c>
      <c r="BN47" s="260">
        <f t="shared" si="23"/>
        <v>0</v>
      </c>
      <c r="BO47" s="260">
        <f t="shared" si="24"/>
        <v>0</v>
      </c>
      <c r="BP47" s="261">
        <f t="shared" si="55"/>
        <v>0</v>
      </c>
      <c r="BQ47" s="263">
        <f t="shared" si="25"/>
        <v>0</v>
      </c>
      <c r="BR47" s="263">
        <f t="shared" si="26"/>
        <v>0</v>
      </c>
      <c r="BS47" s="263">
        <f t="shared" si="27"/>
        <v>0</v>
      </c>
      <c r="BT47" s="263">
        <f t="shared" si="28"/>
        <v>0</v>
      </c>
      <c r="BU47" s="263">
        <f t="shared" si="29"/>
        <v>0</v>
      </c>
      <c r="BV47" s="263">
        <f t="shared" si="30"/>
        <v>0</v>
      </c>
      <c r="BW47" s="263">
        <f t="shared" si="31"/>
        <v>0</v>
      </c>
      <c r="BX47" s="260">
        <f t="shared" si="32"/>
        <v>0</v>
      </c>
      <c r="BY47" s="260">
        <f t="shared" si="56"/>
        <v>0</v>
      </c>
      <c r="BZ47" s="264">
        <f t="shared" si="33"/>
        <v>0</v>
      </c>
      <c r="CA47" s="264">
        <f t="shared" si="34"/>
        <v>0</v>
      </c>
      <c r="CB47" s="265"/>
      <c r="CC47" s="266">
        <f t="shared" si="35"/>
        <v>0</v>
      </c>
      <c r="CD47" s="263">
        <f t="shared" si="36"/>
        <v>0</v>
      </c>
      <c r="CE47" s="263" cm="1">
        <f t="array" ref="CE47">SUM(BK47:BO47, -BS47:BX47, CC47:CD47)</f>
        <v>0</v>
      </c>
      <c r="CF47" s="260">
        <f t="shared" si="37"/>
        <v>0</v>
      </c>
      <c r="CG47" s="261">
        <f t="shared" si="57"/>
        <v>0</v>
      </c>
      <c r="CH47" s="265"/>
      <c r="CI47" s="266">
        <f t="shared" si="38"/>
        <v>0</v>
      </c>
      <c r="CJ47" s="263">
        <f t="shared" si="39"/>
        <v>0</v>
      </c>
      <c r="CK47" s="263">
        <f t="shared" si="40"/>
        <v>0</v>
      </c>
      <c r="CL47" s="263">
        <f t="shared" si="58"/>
        <v>0</v>
      </c>
      <c r="CM47" s="263">
        <f t="shared" si="41"/>
        <v>0</v>
      </c>
      <c r="CN47" s="263">
        <f t="shared" si="59"/>
        <v>0</v>
      </c>
      <c r="CO47" s="263">
        <f t="shared" si="60"/>
        <v>-550.00000000000068</v>
      </c>
      <c r="CP47" s="263">
        <f t="shared" si="61"/>
        <v>0</v>
      </c>
      <c r="CQ47" s="263">
        <f t="shared" si="62"/>
        <v>0</v>
      </c>
    </row>
    <row r="48" spans="2:95" ht="15.75" customHeight="1" thickBot="1" x14ac:dyDescent="0.6">
      <c r="B48" s="227"/>
      <c r="D48" s="21"/>
      <c r="K48" s="21" t="s">
        <v>174</v>
      </c>
      <c r="N48" s="191" t="s">
        <v>21</v>
      </c>
      <c r="O48" s="91">
        <f>O46-O47</f>
        <v>47.5</v>
      </c>
      <c r="P48" s="91">
        <f>MAX(P46-P47, 0)</f>
        <v>0</v>
      </c>
      <c r="Y48" s="127"/>
      <c r="Z48" s="127"/>
      <c r="AA48" s="95"/>
      <c r="AB48" s="95"/>
      <c r="AC48" s="95"/>
      <c r="AD48" s="95"/>
      <c r="AE48" s="95"/>
      <c r="AF48" s="95"/>
      <c r="AG48" s="95"/>
      <c r="AH48" s="95"/>
      <c r="AI48" s="107"/>
      <c r="AJ48" s="113"/>
      <c r="AK48" s="95"/>
      <c r="AL48" s="95"/>
      <c r="AM48" s="95"/>
      <c r="AN48" s="95"/>
      <c r="AO48" s="98"/>
      <c r="AP48" s="95"/>
      <c r="AQ48" s="95"/>
      <c r="AR48" s="95"/>
      <c r="AS48" s="95"/>
      <c r="AT48" s="95"/>
      <c r="AU48" s="95"/>
      <c r="AV48" s="95"/>
      <c r="AW48" s="95"/>
      <c r="AX48" s="95"/>
      <c r="AY48" s="95"/>
      <c r="AZ48" s="95"/>
      <c r="BA48" s="95"/>
      <c r="BB48" s="95"/>
      <c r="BC48" s="95"/>
      <c r="BD48" s="95"/>
      <c r="BE48" s="95"/>
      <c r="BI48" s="95"/>
      <c r="BJ48" s="95"/>
      <c r="BK48" s="95"/>
      <c r="BL48" s="95"/>
      <c r="BM48" s="95"/>
      <c r="BN48" s="95"/>
      <c r="BO48" s="95"/>
      <c r="BP48" s="95"/>
      <c r="BQ48" s="95"/>
      <c r="BR48" s="95"/>
      <c r="BS48" s="95"/>
      <c r="BT48" s="95"/>
      <c r="BU48" s="95"/>
      <c r="BV48" s="95"/>
      <c r="BW48" s="95"/>
      <c r="BX48" s="95"/>
      <c r="BY48" s="95"/>
      <c r="BZ48" s="95"/>
      <c r="CA48" s="95"/>
      <c r="CB48" s="98"/>
      <c r="CC48" s="95"/>
      <c r="CD48" s="95"/>
      <c r="CE48" s="95"/>
      <c r="CF48" s="95"/>
      <c r="CG48" s="95"/>
      <c r="CH48" s="98"/>
      <c r="CI48" s="95"/>
      <c r="CJ48" s="95"/>
      <c r="CK48" s="263"/>
      <c r="CL48" s="263"/>
      <c r="CM48" s="263"/>
      <c r="CN48" s="263"/>
      <c r="CO48" s="263"/>
      <c r="CP48" s="263"/>
      <c r="CQ48" s="263"/>
    </row>
    <row r="49" spans="2:95" ht="15.75" customHeight="1" thickTop="1" x14ac:dyDescent="0.55000000000000004">
      <c r="E49" s="191"/>
      <c r="F49" s="191"/>
      <c r="K49" s="119" t="s">
        <v>175</v>
      </c>
      <c r="N49" s="191" t="s">
        <v>21</v>
      </c>
      <c r="O49" s="91">
        <f>O46*$F$19</f>
        <v>950</v>
      </c>
      <c r="P49" s="91">
        <f>P46*$F$19</f>
        <v>950</v>
      </c>
      <c r="X49" s="128" t="s">
        <v>68</v>
      </c>
      <c r="Y49" s="131">
        <f t="shared" ref="Y49:AL49" si="68">SUM(Y18:Y47)</f>
        <v>1140</v>
      </c>
      <c r="Z49" s="131">
        <f t="shared" si="68"/>
        <v>0</v>
      </c>
      <c r="AA49" s="131">
        <f t="shared" si="68"/>
        <v>1282.5</v>
      </c>
      <c r="AB49" s="131">
        <f t="shared" si="68"/>
        <v>1350</v>
      </c>
      <c r="AC49" s="131">
        <f t="shared" ref="AC49" si="69">SUM(AC18:AC47)</f>
        <v>0</v>
      </c>
      <c r="AD49" s="131">
        <f t="shared" si="68"/>
        <v>3772.5</v>
      </c>
      <c r="AE49" s="131">
        <f t="shared" si="68"/>
        <v>2850</v>
      </c>
      <c r="AF49" s="131">
        <f t="shared" si="68"/>
        <v>0</v>
      </c>
      <c r="AG49" s="131">
        <f t="shared" si="68"/>
        <v>950</v>
      </c>
      <c r="AH49" s="131">
        <f t="shared" si="68"/>
        <v>210</v>
      </c>
      <c r="AI49" s="131">
        <f t="shared" si="68"/>
        <v>1282.5</v>
      </c>
      <c r="AJ49" s="131">
        <f t="shared" si="68"/>
        <v>337.61812499999996</v>
      </c>
      <c r="AK49" s="131">
        <f t="shared" si="68"/>
        <v>5630.1181250000009</v>
      </c>
      <c r="AL49" s="306">
        <f t="shared" si="68"/>
        <v>-1857.618125</v>
      </c>
      <c r="AM49" s="131">
        <f>SUM(AL49,AM17)</f>
        <v>-1885.1684323235149</v>
      </c>
      <c r="AN49" s="306">
        <f>SUM(AN17:AN47)</f>
        <v>-1240.6182703571496</v>
      </c>
      <c r="AO49" s="265"/>
      <c r="AP49" s="131">
        <f t="shared" ref="AP49:BE49" si="70">SUM(AP18:AP47)</f>
        <v>920</v>
      </c>
      <c r="AQ49" s="131">
        <f t="shared" si="70"/>
        <v>0</v>
      </c>
      <c r="AR49" s="131">
        <f t="shared" si="70"/>
        <v>1035</v>
      </c>
      <c r="AS49" s="131">
        <f t="shared" si="70"/>
        <v>0</v>
      </c>
      <c r="AT49" s="131">
        <f t="shared" si="70"/>
        <v>1955</v>
      </c>
      <c r="AU49" s="131">
        <f t="shared" si="70"/>
        <v>1150</v>
      </c>
      <c r="AV49" s="131">
        <f t="shared" si="70"/>
        <v>1150</v>
      </c>
      <c r="AW49" s="131">
        <f t="shared" si="70"/>
        <v>510.08040572348426</v>
      </c>
      <c r="AX49" s="131">
        <f t="shared" si="70"/>
        <v>0</v>
      </c>
      <c r="AY49" s="131">
        <f t="shared" si="70"/>
        <v>170</v>
      </c>
      <c r="AZ49" s="131">
        <f t="shared" si="70"/>
        <v>0</v>
      </c>
      <c r="BA49" s="131">
        <f t="shared" si="70"/>
        <v>1035</v>
      </c>
      <c r="BB49" s="131">
        <f t="shared" si="70"/>
        <v>272.46375</v>
      </c>
      <c r="BC49" s="131">
        <f t="shared" si="70"/>
        <v>4287.5441557234844</v>
      </c>
      <c r="BD49" s="306">
        <f t="shared" si="70"/>
        <v>-2332.5441557234844</v>
      </c>
      <c r="BE49" s="306">
        <f t="shared" si="70"/>
        <v>-1186.4253719801122</v>
      </c>
      <c r="BG49" s="305"/>
      <c r="BI49" s="235">
        <f t="shared" ref="BI49:CA49" si="71">SUM(BI18:BI47)</f>
        <v>1150</v>
      </c>
      <c r="BJ49" s="235">
        <f t="shared" si="71"/>
        <v>1150</v>
      </c>
      <c r="BK49" s="235">
        <f t="shared" si="71"/>
        <v>510.08040572348426</v>
      </c>
      <c r="BL49" s="235">
        <f t="shared" si="71"/>
        <v>0</v>
      </c>
      <c r="BM49" s="235">
        <f t="shared" si="71"/>
        <v>0</v>
      </c>
      <c r="BN49" s="235">
        <f t="shared" si="71"/>
        <v>2200</v>
      </c>
      <c r="BO49" s="235">
        <f t="shared" ref="BO49" si="72">SUM(BO18:BO47)</f>
        <v>1000</v>
      </c>
      <c r="BP49" s="235">
        <f t="shared" si="71"/>
        <v>6010.0804057234873</v>
      </c>
      <c r="BQ49" s="235">
        <f t="shared" si="71"/>
        <v>2300</v>
      </c>
      <c r="BR49" s="235">
        <f t="shared" si="71"/>
        <v>0</v>
      </c>
      <c r="BS49" s="235">
        <f t="shared" si="71"/>
        <v>950</v>
      </c>
      <c r="BT49" s="235">
        <f t="shared" si="71"/>
        <v>365.16843232351493</v>
      </c>
      <c r="BU49" s="235">
        <f t="shared" si="71"/>
        <v>149.25486285868269</v>
      </c>
      <c r="BV49" s="235">
        <f t="shared" si="71"/>
        <v>276</v>
      </c>
      <c r="BW49" s="235">
        <f t="shared" si="71"/>
        <v>100</v>
      </c>
      <c r="BX49" s="235">
        <f t="shared" si="71"/>
        <v>4.6900000000000004</v>
      </c>
      <c r="BY49" s="235">
        <f t="shared" ref="BY49" si="73">SUM(BY18:BY47)</f>
        <v>324.41183920597757</v>
      </c>
      <c r="BZ49" s="235">
        <f t="shared" si="71"/>
        <v>4469.5251343881746</v>
      </c>
      <c r="CA49" s="235">
        <f t="shared" si="71"/>
        <v>1689.8101341939919</v>
      </c>
      <c r="CB49" s="265"/>
      <c r="CC49" s="235">
        <f t="shared" ref="CC49:CG49" si="74">SUM(CC18:CC47)</f>
        <v>0</v>
      </c>
      <c r="CD49" s="235">
        <f t="shared" si="74"/>
        <v>-550</v>
      </c>
      <c r="CE49" s="235">
        <f t="shared" si="74"/>
        <v>1314.9671105412867</v>
      </c>
      <c r="CF49" s="235">
        <f t="shared" ref="CF49" si="75">SUM(CF18:CF47)</f>
        <v>-324.41183920597757</v>
      </c>
      <c r="CG49" s="235">
        <f t="shared" si="74"/>
        <v>990.55527133530916</v>
      </c>
      <c r="CH49" s="265"/>
      <c r="CI49" s="235"/>
      <c r="CJ49" s="235">
        <f t="shared" ref="CJ49" si="76">SUM(CJ18:CJ47)</f>
        <v>0</v>
      </c>
      <c r="CK49" s="235">
        <f>SUM(CK18:CK48)</f>
        <v>0</v>
      </c>
      <c r="CL49" s="235">
        <f>SUM(CL18:CL48)</f>
        <v>1543</v>
      </c>
      <c r="CM49" s="235">
        <f>SUM(CM18:CM48)</f>
        <v>-1543</v>
      </c>
      <c r="CN49" s="235">
        <f t="shared" ref="CN49:CQ49" si="77">SUM(CN18:CN48)</f>
        <v>19114.239646869974</v>
      </c>
      <c r="CO49" s="235">
        <f t="shared" si="77"/>
        <v>-3339.9472129802416</v>
      </c>
      <c r="CP49" s="235">
        <f t="shared" si="77"/>
        <v>-1540.55527133531</v>
      </c>
      <c r="CQ49" s="235">
        <f t="shared" si="77"/>
        <v>1540.5552713353097</v>
      </c>
    </row>
    <row r="50" spans="2:95" ht="15.75" customHeight="1" x14ac:dyDescent="0.55000000000000004">
      <c r="B50" s="223" t="s">
        <v>176</v>
      </c>
      <c r="D50" s="276"/>
      <c r="E50" s="22" t="s">
        <v>55</v>
      </c>
      <c r="F50" s="22" t="s">
        <v>98</v>
      </c>
      <c r="O50" s="205"/>
      <c r="P50" s="205"/>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O50" s="21"/>
    </row>
    <row r="51" spans="2:95" ht="15.75" customHeight="1" x14ac:dyDescent="0.45">
      <c r="C51" s="21" t="s">
        <v>177</v>
      </c>
      <c r="D51" s="191" t="s">
        <v>21</v>
      </c>
      <c r="E51" s="150">
        <v>10</v>
      </c>
      <c r="F51" s="412">
        <v>50</v>
      </c>
      <c r="O51" s="205"/>
      <c r="P51" s="205"/>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O51" s="21"/>
    </row>
    <row r="52" spans="2:95" ht="15.75" customHeight="1" x14ac:dyDescent="0.45">
      <c r="C52" s="21" t="s">
        <v>178</v>
      </c>
      <c r="D52" s="191" t="s">
        <v>21</v>
      </c>
      <c r="E52" s="150">
        <v>10</v>
      </c>
      <c r="F52" s="150">
        <v>6</v>
      </c>
      <c r="O52" s="205"/>
      <c r="P52" s="205"/>
      <c r="Z52" s="21"/>
      <c r="AA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O52" s="21"/>
    </row>
    <row r="53" spans="2:95" ht="15.75" customHeight="1" x14ac:dyDescent="0.55000000000000004">
      <c r="E53" s="191"/>
      <c r="F53" s="191"/>
      <c r="O53" s="205"/>
      <c r="P53" s="205"/>
      <c r="V53" s="294"/>
      <c r="W53" s="105"/>
      <c r="X53" s="105"/>
      <c r="Z53" s="307"/>
      <c r="AA53" s="307"/>
      <c r="AB53" s="307"/>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5"/>
      <c r="BU53" s="105"/>
      <c r="BV53" s="105"/>
      <c r="BW53" s="105"/>
      <c r="BX53" s="105"/>
      <c r="BY53" s="105"/>
      <c r="BZ53" s="105"/>
      <c r="CA53" s="105"/>
      <c r="CB53" s="105"/>
      <c r="CC53" s="105"/>
      <c r="CD53" s="105"/>
      <c r="CE53" s="105"/>
      <c r="CF53" s="105"/>
      <c r="CG53" s="105"/>
      <c r="CH53" s="105"/>
      <c r="CI53" s="105"/>
      <c r="CJ53" s="105"/>
      <c r="CK53" s="105"/>
      <c r="CL53" s="105"/>
      <c r="CM53" s="105"/>
      <c r="CO53" s="21"/>
    </row>
    <row r="54" spans="2:95" ht="15.75" customHeight="1" x14ac:dyDescent="0.45">
      <c r="B54" s="223" t="s">
        <v>179</v>
      </c>
      <c r="F54" s="327">
        <v>0</v>
      </c>
      <c r="G54" s="21">
        <v>0</v>
      </c>
      <c r="H54" s="21" t="s">
        <v>344</v>
      </c>
      <c r="J54" s="223" t="s">
        <v>179</v>
      </c>
      <c r="V54" s="294"/>
      <c r="W54" s="105"/>
      <c r="X54" s="105"/>
      <c r="Z54" s="307"/>
      <c r="AA54" s="307"/>
      <c r="AB54" s="307"/>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O54" s="21"/>
    </row>
    <row r="55" spans="2:95" ht="15.75" customHeight="1" x14ac:dyDescent="0.55000000000000004">
      <c r="G55" s="21">
        <v>1</v>
      </c>
      <c r="H55" s="21" t="s">
        <v>345</v>
      </c>
      <c r="K55" s="21" t="s">
        <v>346</v>
      </c>
      <c r="V55" s="294"/>
      <c r="W55" s="105"/>
      <c r="X55" s="105"/>
      <c r="Y55" s="105"/>
      <c r="Z55" s="307"/>
      <c r="AA55" s="307"/>
      <c r="AB55" s="307"/>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O55" s="21"/>
    </row>
    <row r="56" spans="2:95" ht="15.75" customHeight="1" x14ac:dyDescent="0.45">
      <c r="E56" s="191"/>
      <c r="F56" s="191"/>
      <c r="M56" s="21" t="s">
        <v>181</v>
      </c>
      <c r="N56" s="191" t="s">
        <v>21</v>
      </c>
      <c r="O56" s="169"/>
      <c r="P56" s="288">
        <f>F107</f>
        <v>100</v>
      </c>
      <c r="V56" s="294"/>
      <c r="W56" s="105"/>
      <c r="X56" s="105"/>
      <c r="Y56" s="105"/>
      <c r="Z56" s="307"/>
      <c r="AA56" s="307"/>
      <c r="AB56" s="307"/>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O56" s="21"/>
    </row>
    <row r="57" spans="2:95" ht="15.75" customHeight="1" x14ac:dyDescent="0.45">
      <c r="E57" s="191"/>
      <c r="F57" s="191"/>
      <c r="M57" s="21" t="s">
        <v>182</v>
      </c>
      <c r="N57" s="191" t="s">
        <v>21</v>
      </c>
      <c r="O57" s="170"/>
      <c r="P57" s="288">
        <f>F108</f>
        <v>36</v>
      </c>
      <c r="V57" s="294"/>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O57" s="21"/>
    </row>
    <row r="58" spans="2:95" ht="15.75" customHeight="1" thickBot="1" x14ac:dyDescent="0.5">
      <c r="M58" s="21" t="s">
        <v>183</v>
      </c>
      <c r="N58" s="191" t="s">
        <v>21</v>
      </c>
      <c r="O58" s="170"/>
      <c r="P58" s="132">
        <f>P122*F18</f>
        <v>0.54</v>
      </c>
      <c r="Q58" s="21" t="s">
        <v>347</v>
      </c>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O58" s="21"/>
    </row>
    <row r="59" spans="2:95" ht="15.75" customHeight="1" thickBot="1" x14ac:dyDescent="0.5">
      <c r="B59" s="227"/>
      <c r="D59" s="21"/>
      <c r="K59" s="133" t="s">
        <v>348</v>
      </c>
      <c r="L59" s="134"/>
      <c r="M59" s="134"/>
      <c r="N59" s="194" t="s">
        <v>21</v>
      </c>
      <c r="O59" s="171"/>
      <c r="P59" s="135">
        <f>SUM(P56:P58)*$F$54</f>
        <v>0</v>
      </c>
      <c r="Q59" s="21" t="s">
        <v>186</v>
      </c>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O59" s="21"/>
    </row>
    <row r="60" spans="2:95" ht="15.75" customHeight="1" x14ac:dyDescent="0.45">
      <c r="B60" s="227"/>
      <c r="D60" s="21"/>
      <c r="M60" s="21" t="s">
        <v>187</v>
      </c>
      <c r="N60" s="191" t="s">
        <v>21</v>
      </c>
      <c r="O60" s="172"/>
      <c r="P60" s="246">
        <f>F108/$F$18</f>
        <v>12</v>
      </c>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O60" s="21"/>
    </row>
    <row r="61" spans="2:95" ht="15.75" customHeight="1" thickBot="1" x14ac:dyDescent="0.5">
      <c r="I61" s="220"/>
      <c r="M61" s="21" t="s">
        <v>188</v>
      </c>
      <c r="N61" s="191" t="s">
        <v>21</v>
      </c>
      <c r="O61" s="172"/>
      <c r="P61" s="177">
        <f>P136</f>
        <v>0.18</v>
      </c>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row>
    <row r="62" spans="2:95" ht="15.75" customHeight="1" thickBot="1" x14ac:dyDescent="0.5">
      <c r="J62" s="229"/>
      <c r="K62" s="133" t="s">
        <v>349</v>
      </c>
      <c r="L62" s="134"/>
      <c r="M62" s="134"/>
      <c r="N62" s="194" t="s">
        <v>21</v>
      </c>
      <c r="O62" s="171"/>
      <c r="P62" s="135">
        <f>SUM(P60:P61)*$F$54</f>
        <v>0</v>
      </c>
      <c r="Q62" s="21" t="s">
        <v>190</v>
      </c>
      <c r="X62" s="309"/>
      <c r="Y62" s="309"/>
      <c r="Z62" s="309"/>
      <c r="AA62" s="309"/>
      <c r="AB62" s="309"/>
      <c r="AD62" s="309"/>
    </row>
    <row r="63" spans="2:95" ht="15.75" customHeight="1" x14ac:dyDescent="0.45">
      <c r="J63" s="229"/>
      <c r="O63" s="233"/>
      <c r="P63" s="234"/>
      <c r="X63" s="24"/>
      <c r="Y63" s="24"/>
      <c r="Z63" s="24"/>
    </row>
    <row r="64" spans="2:95" ht="15.75" customHeight="1" x14ac:dyDescent="0.55000000000000004">
      <c r="B64" s="226" t="s">
        <v>270</v>
      </c>
      <c r="D64" s="21"/>
      <c r="N64" s="21"/>
      <c r="X64" s="24"/>
      <c r="Y64" s="24"/>
      <c r="Z64" s="24"/>
    </row>
    <row r="65" spans="1:105" ht="15.75" customHeight="1" x14ac:dyDescent="0.45">
      <c r="B65" s="226"/>
      <c r="C65" s="119" t="s">
        <v>193</v>
      </c>
      <c r="D65" s="191" t="s">
        <v>25</v>
      </c>
      <c r="F65" s="315">
        <v>0.95</v>
      </c>
      <c r="G65" s="119"/>
      <c r="J65" s="223" t="s">
        <v>192</v>
      </c>
      <c r="X65" s="24"/>
      <c r="Y65" s="24"/>
      <c r="Z65" s="24"/>
    </row>
    <row r="66" spans="1:105" ht="15.75" customHeight="1" x14ac:dyDescent="0.45">
      <c r="B66" s="226"/>
      <c r="C66" s="119" t="s">
        <v>194</v>
      </c>
      <c r="D66" s="191" t="s">
        <v>25</v>
      </c>
      <c r="F66" s="162">
        <f>事業費用概算!I31</f>
        <v>0.05</v>
      </c>
      <c r="K66" s="21" t="s">
        <v>59</v>
      </c>
      <c r="N66" s="191" t="s">
        <v>21</v>
      </c>
      <c r="O66" s="91">
        <f>O32/$F$65</f>
        <v>3000</v>
      </c>
      <c r="X66" s="24"/>
      <c r="Y66" s="24"/>
      <c r="Z66" s="24"/>
    </row>
    <row r="67" spans="1:105" ht="15.75" customHeight="1" x14ac:dyDescent="0.45">
      <c r="C67" s="119" t="s">
        <v>196</v>
      </c>
      <c r="D67" s="191" t="s">
        <v>25</v>
      </c>
      <c r="F67" s="162">
        <f>事業費用概算!I32</f>
        <v>0.05</v>
      </c>
      <c r="K67" s="21" t="s">
        <v>195</v>
      </c>
      <c r="N67" s="191" t="s">
        <v>21</v>
      </c>
      <c r="O67" s="321">
        <f>O46/$F$65*$F$19</f>
        <v>1000</v>
      </c>
      <c r="X67" s="24"/>
      <c r="Y67" s="24"/>
      <c r="Z67" s="24"/>
    </row>
    <row r="68" spans="1:105" ht="15.75" customHeight="1" x14ac:dyDescent="0.55000000000000004">
      <c r="D68" s="21"/>
      <c r="K68" s="241" t="s">
        <v>197</v>
      </c>
      <c r="L68" s="241"/>
      <c r="M68" s="241"/>
      <c r="N68" s="241" t="s">
        <v>21</v>
      </c>
      <c r="O68" s="322">
        <f>SUM(O66:O67)</f>
        <v>4000</v>
      </c>
      <c r="X68" s="24"/>
      <c r="Y68" s="24"/>
      <c r="Z68" s="24"/>
      <c r="AM68" s="21"/>
    </row>
    <row r="69" spans="1:105" s="25" customFormat="1" ht="15.75" customHeight="1" x14ac:dyDescent="0.55000000000000004">
      <c r="A69" s="207"/>
      <c r="B69" s="226" t="s">
        <v>350</v>
      </c>
      <c r="E69" s="21" t="s">
        <v>55</v>
      </c>
      <c r="F69" s="21" t="s">
        <v>152</v>
      </c>
      <c r="G69" s="21"/>
      <c r="H69" s="119"/>
      <c r="I69" s="214"/>
      <c r="J69" s="223"/>
      <c r="S69" s="21"/>
      <c r="T69" s="191"/>
      <c r="U69" s="21"/>
      <c r="V69" s="289"/>
      <c r="W69" s="21"/>
      <c r="X69" s="24"/>
      <c r="Y69" s="24"/>
      <c r="Z69" s="24"/>
      <c r="AA69" s="24"/>
      <c r="AB69" s="24"/>
      <c r="AC69" s="24"/>
      <c r="AD69" s="24"/>
      <c r="AE69" s="24"/>
      <c r="AF69" s="24"/>
      <c r="AG69" s="24"/>
      <c r="AH69" s="24"/>
      <c r="AI69" s="24"/>
      <c r="AJ69" s="24"/>
      <c r="AK69" s="24"/>
      <c r="AL69" s="24"/>
      <c r="AM69" s="21"/>
      <c r="AO69" s="26"/>
      <c r="AQ69" s="24"/>
      <c r="AR69" s="24"/>
      <c r="AS69" s="24"/>
      <c r="AT69" s="24"/>
      <c r="AU69" s="24"/>
      <c r="AV69" s="24"/>
      <c r="AW69" s="24"/>
      <c r="AX69" s="24"/>
      <c r="AY69" s="24"/>
      <c r="AZ69" s="24"/>
      <c r="BA69" s="24"/>
      <c r="BB69" s="24"/>
      <c r="BC69" s="24"/>
      <c r="BD69" s="24"/>
      <c r="BE69" s="24"/>
      <c r="BF69" s="22"/>
      <c r="BG69" s="26"/>
      <c r="BH69" s="22"/>
      <c r="BI69" s="24"/>
      <c r="BJ69" s="24"/>
      <c r="BK69" s="24"/>
      <c r="BL69" s="24"/>
      <c r="BM69" s="24"/>
      <c r="BN69" s="24"/>
      <c r="BO69" s="24"/>
      <c r="BP69" s="24"/>
      <c r="BQ69" s="24"/>
      <c r="BR69" s="24"/>
      <c r="BS69" s="24"/>
      <c r="BT69" s="24"/>
      <c r="BU69" s="24"/>
      <c r="BV69" s="24"/>
      <c r="BW69" s="24"/>
      <c r="BX69" s="24"/>
      <c r="BY69" s="24"/>
      <c r="BZ69" s="24"/>
      <c r="CA69" s="24"/>
      <c r="CB69" s="22"/>
      <c r="CC69" s="24"/>
      <c r="CD69" s="24"/>
      <c r="CE69" s="24"/>
      <c r="CF69" s="24"/>
      <c r="CG69" s="24"/>
      <c r="CH69" s="22"/>
      <c r="CI69" s="24"/>
      <c r="CJ69" s="24"/>
      <c r="CK69" s="22"/>
      <c r="CL69" s="22"/>
      <c r="CM69" s="22"/>
      <c r="CN69" s="22"/>
      <c r="CO69" s="22"/>
      <c r="CP69" s="21"/>
      <c r="CQ69" s="21"/>
      <c r="CR69" s="21"/>
      <c r="CS69" s="21"/>
      <c r="CT69" s="21"/>
      <c r="CU69" s="21"/>
      <c r="CV69" s="21"/>
      <c r="CW69" s="21"/>
      <c r="CX69" s="21"/>
      <c r="CY69" s="21"/>
      <c r="CZ69" s="21"/>
      <c r="DA69" s="21"/>
    </row>
    <row r="70" spans="1:105" s="25" customFormat="1" ht="15.75" customHeight="1" x14ac:dyDescent="0.45">
      <c r="A70" s="207"/>
      <c r="B70" s="223"/>
      <c r="C70" s="119" t="s">
        <v>351</v>
      </c>
      <c r="D70" s="191" t="s">
        <v>21</v>
      </c>
      <c r="E70" s="183">
        <v>0</v>
      </c>
      <c r="F70" s="183">
        <v>0</v>
      </c>
      <c r="G70" s="21"/>
      <c r="H70" s="21"/>
      <c r="I70" s="214"/>
      <c r="J70" s="229"/>
      <c r="P70" s="21"/>
      <c r="Q70" s="21"/>
      <c r="R70" s="21"/>
      <c r="S70" s="21"/>
      <c r="T70" s="191"/>
      <c r="U70" s="21"/>
      <c r="V70" s="289"/>
      <c r="W70" s="21"/>
      <c r="X70" s="24"/>
      <c r="Y70" s="24"/>
      <c r="Z70" s="24"/>
      <c r="AA70" s="24"/>
      <c r="AB70" s="24"/>
      <c r="AC70" s="24"/>
      <c r="AD70" s="24"/>
      <c r="AE70" s="24"/>
      <c r="AF70" s="24"/>
      <c r="AG70" s="24"/>
      <c r="AH70" s="24"/>
      <c r="AI70" s="24"/>
      <c r="AJ70" s="24"/>
      <c r="AK70" s="24"/>
      <c r="AL70" s="24"/>
      <c r="AO70" s="26"/>
      <c r="AQ70" s="24"/>
      <c r="AR70" s="24"/>
      <c r="AS70" s="24"/>
      <c r="AT70" s="24"/>
      <c r="AU70" s="24"/>
      <c r="AV70" s="24"/>
      <c r="AW70" s="24"/>
      <c r="AX70" s="24"/>
      <c r="AY70" s="24"/>
      <c r="AZ70" s="24"/>
      <c r="BA70" s="24"/>
      <c r="BB70" s="24"/>
      <c r="BC70" s="24"/>
      <c r="BD70" s="24"/>
      <c r="BE70" s="24"/>
      <c r="BF70" s="22"/>
      <c r="BG70" s="26"/>
      <c r="BH70" s="22"/>
      <c r="BI70" s="24"/>
      <c r="BJ70" s="24"/>
      <c r="BK70" s="24"/>
      <c r="BL70" s="24"/>
      <c r="BM70" s="24"/>
      <c r="BN70" s="24"/>
      <c r="BO70" s="24"/>
      <c r="BP70" s="24"/>
      <c r="BQ70" s="24"/>
      <c r="BR70" s="24"/>
      <c r="BS70" s="24"/>
      <c r="BT70" s="24"/>
      <c r="BU70" s="24"/>
      <c r="BV70" s="24"/>
      <c r="BW70" s="24"/>
      <c r="BX70" s="24"/>
      <c r="BY70" s="24"/>
      <c r="BZ70" s="24"/>
      <c r="CA70" s="24"/>
      <c r="CB70" s="22"/>
      <c r="CC70" s="24"/>
      <c r="CD70" s="24"/>
      <c r="CE70" s="24"/>
      <c r="CF70" s="24"/>
      <c r="CG70" s="24"/>
      <c r="CH70" s="22"/>
      <c r="CI70" s="24"/>
      <c r="CJ70" s="24"/>
      <c r="CK70" s="22"/>
      <c r="CL70" s="22"/>
      <c r="CM70" s="22"/>
      <c r="CN70" s="22"/>
      <c r="CO70" s="22"/>
      <c r="CP70" s="21"/>
      <c r="CQ70" s="21"/>
      <c r="CR70" s="21"/>
      <c r="CS70" s="21"/>
      <c r="CT70" s="21"/>
      <c r="CU70" s="21"/>
      <c r="CV70" s="21"/>
      <c r="CW70" s="21"/>
      <c r="CX70" s="21"/>
      <c r="CY70" s="21"/>
      <c r="CZ70" s="21"/>
      <c r="DA70" s="21"/>
    </row>
    <row r="71" spans="1:105" s="25" customFormat="1" ht="15.75" customHeight="1" x14ac:dyDescent="0.45">
      <c r="A71" s="207"/>
      <c r="B71" s="223"/>
      <c r="C71" s="21" t="s">
        <v>352</v>
      </c>
      <c r="D71" s="191" t="s">
        <v>353</v>
      </c>
      <c r="E71" s="183">
        <v>6</v>
      </c>
      <c r="F71" s="183">
        <v>6</v>
      </c>
      <c r="G71" s="21"/>
      <c r="H71" s="21"/>
      <c r="I71" s="214"/>
      <c r="J71" s="223"/>
      <c r="K71" s="21"/>
      <c r="L71" s="21"/>
      <c r="M71" s="21"/>
      <c r="N71" s="191"/>
      <c r="O71" s="21"/>
      <c r="P71" s="21"/>
      <c r="Q71" s="21"/>
      <c r="R71" s="21"/>
      <c r="S71" s="21"/>
      <c r="T71" s="191"/>
      <c r="U71" s="21"/>
      <c r="V71" s="289"/>
      <c r="W71" s="21"/>
      <c r="X71" s="24"/>
      <c r="Y71" s="24"/>
      <c r="Z71" s="24"/>
      <c r="AA71" s="24"/>
      <c r="AB71" s="24"/>
      <c r="AC71" s="24"/>
      <c r="AD71" s="24"/>
      <c r="AE71" s="24"/>
      <c r="AF71" s="24"/>
      <c r="AG71" s="24"/>
      <c r="AH71" s="24"/>
      <c r="AI71" s="24"/>
      <c r="AJ71" s="24"/>
      <c r="AK71" s="24"/>
      <c r="AL71" s="24"/>
      <c r="AO71" s="26"/>
      <c r="AQ71" s="24"/>
      <c r="AR71" s="24"/>
      <c r="AS71" s="24"/>
      <c r="AT71" s="24"/>
      <c r="AU71" s="24"/>
      <c r="AV71" s="24"/>
      <c r="AW71" s="24"/>
      <c r="AX71" s="24"/>
      <c r="AY71" s="24"/>
      <c r="AZ71" s="24"/>
      <c r="BA71" s="24"/>
      <c r="BB71" s="24"/>
      <c r="BC71" s="24"/>
      <c r="BD71" s="24"/>
      <c r="BE71" s="24"/>
      <c r="BF71" s="22"/>
      <c r="BG71" s="26"/>
      <c r="BH71" s="22"/>
      <c r="BI71" s="24"/>
      <c r="BJ71" s="24"/>
      <c r="BK71" s="24"/>
      <c r="BL71" s="24"/>
      <c r="BM71" s="24"/>
      <c r="BN71" s="24"/>
      <c r="BO71" s="24"/>
      <c r="BP71" s="24"/>
      <c r="BQ71" s="24"/>
      <c r="BR71" s="24"/>
      <c r="BS71" s="24"/>
      <c r="BT71" s="24"/>
      <c r="BU71" s="24"/>
      <c r="BV71" s="24"/>
      <c r="BW71" s="24"/>
      <c r="BX71" s="24"/>
      <c r="BY71" s="24"/>
      <c r="BZ71" s="24"/>
      <c r="CA71" s="24"/>
      <c r="CB71" s="22"/>
      <c r="CC71" s="24"/>
      <c r="CD71" s="24"/>
      <c r="CE71" s="24"/>
      <c r="CF71" s="24"/>
      <c r="CG71" s="24"/>
      <c r="CH71" s="22"/>
      <c r="CI71" s="24"/>
      <c r="CJ71" s="24"/>
      <c r="CK71" s="22"/>
      <c r="CL71" s="22"/>
      <c r="CM71" s="22"/>
      <c r="CN71" s="22"/>
      <c r="CO71" s="22"/>
      <c r="CP71" s="21"/>
      <c r="CQ71" s="21"/>
      <c r="CR71" s="21"/>
      <c r="CS71" s="21"/>
      <c r="CT71" s="21"/>
      <c r="CU71" s="21"/>
      <c r="CV71" s="21"/>
      <c r="CW71" s="21"/>
      <c r="CX71" s="21"/>
      <c r="CY71" s="21"/>
      <c r="CZ71" s="21"/>
      <c r="DA71" s="21"/>
    </row>
    <row r="72" spans="1:105" s="25" customFormat="1" ht="15.75" customHeight="1" x14ac:dyDescent="0.45">
      <c r="A72" s="207"/>
      <c r="B72" s="223"/>
      <c r="C72" s="21" t="s">
        <v>354</v>
      </c>
      <c r="D72" s="191" t="s">
        <v>14</v>
      </c>
      <c r="E72" s="184">
        <f>$F$19-E71+1</f>
        <v>15</v>
      </c>
      <c r="F72" s="184">
        <f t="shared" ref="F72" si="78">$F$19-F71+1</f>
        <v>15</v>
      </c>
      <c r="G72" s="21"/>
      <c r="H72" s="21"/>
      <c r="I72" s="214"/>
      <c r="J72" s="223"/>
      <c r="K72" s="21"/>
      <c r="L72" s="21"/>
      <c r="M72" s="21"/>
      <c r="N72" s="191"/>
      <c r="O72" s="21"/>
      <c r="P72" s="21"/>
      <c r="Q72" s="21"/>
      <c r="R72" s="21"/>
      <c r="S72" s="21"/>
      <c r="T72" s="191"/>
      <c r="U72" s="21"/>
      <c r="V72" s="289"/>
      <c r="W72" s="21"/>
      <c r="X72" s="24"/>
      <c r="Y72" s="24"/>
      <c r="Z72" s="24"/>
      <c r="AA72" s="24"/>
      <c r="AB72" s="24"/>
      <c r="AC72" s="24"/>
      <c r="AD72" s="24"/>
      <c r="AE72" s="24"/>
      <c r="AF72" s="24"/>
      <c r="AG72" s="24"/>
      <c r="AH72" s="24"/>
      <c r="AI72" s="24"/>
      <c r="AJ72" s="24"/>
      <c r="AK72" s="24"/>
      <c r="AL72" s="24"/>
      <c r="AO72" s="26"/>
      <c r="AQ72" s="24"/>
      <c r="AR72" s="24"/>
      <c r="AS72" s="24"/>
      <c r="AT72" s="24"/>
      <c r="AU72" s="24"/>
      <c r="AV72" s="24"/>
      <c r="AW72" s="24"/>
      <c r="AX72" s="24"/>
      <c r="AY72" s="24"/>
      <c r="AZ72" s="24"/>
      <c r="BA72" s="24"/>
      <c r="BB72" s="24"/>
      <c r="BC72" s="24"/>
      <c r="BD72" s="24"/>
      <c r="BE72" s="24"/>
      <c r="BF72" s="22"/>
      <c r="BG72" s="26"/>
      <c r="BH72" s="22"/>
      <c r="BI72" s="24"/>
      <c r="BJ72" s="24"/>
      <c r="BK72" s="24"/>
      <c r="BL72" s="24"/>
      <c r="BM72" s="24"/>
      <c r="BN72" s="24"/>
      <c r="BO72" s="24"/>
      <c r="BP72" s="24"/>
      <c r="BQ72" s="24"/>
      <c r="BR72" s="24"/>
      <c r="BS72" s="24"/>
      <c r="BT72" s="24"/>
      <c r="BU72" s="24"/>
      <c r="BV72" s="24"/>
      <c r="BW72" s="24"/>
      <c r="BX72" s="24"/>
      <c r="BY72" s="24"/>
      <c r="BZ72" s="24"/>
      <c r="CA72" s="24"/>
      <c r="CB72" s="22"/>
      <c r="CC72" s="24"/>
      <c r="CD72" s="24"/>
      <c r="CE72" s="24"/>
      <c r="CF72" s="24"/>
      <c r="CG72" s="24"/>
      <c r="CH72" s="22"/>
      <c r="CI72" s="24"/>
      <c r="CJ72" s="24"/>
      <c r="CK72" s="22"/>
      <c r="CL72" s="22"/>
      <c r="CM72" s="22"/>
      <c r="CN72" s="22"/>
      <c r="CO72" s="22"/>
      <c r="CP72" s="21"/>
      <c r="CQ72" s="21"/>
      <c r="CR72" s="21"/>
      <c r="CS72" s="21"/>
      <c r="CT72" s="21"/>
      <c r="CU72" s="21"/>
      <c r="CV72" s="21"/>
      <c r="CW72" s="21"/>
      <c r="CX72" s="21"/>
      <c r="CY72" s="21"/>
      <c r="CZ72" s="21"/>
      <c r="DA72" s="21"/>
    </row>
    <row r="73" spans="1:105" ht="15.75" customHeight="1" x14ac:dyDescent="0.55000000000000004">
      <c r="D73" s="21"/>
      <c r="J73" s="229"/>
      <c r="N73" s="21"/>
      <c r="X73" s="24"/>
      <c r="Y73" s="24"/>
      <c r="Z73" s="24"/>
      <c r="AM73" s="21"/>
    </row>
    <row r="74" spans="1:105" s="25" customFormat="1" ht="15.75" customHeight="1" thickBot="1" x14ac:dyDescent="0.6">
      <c r="A74" s="210" t="s">
        <v>31</v>
      </c>
      <c r="B74" s="225"/>
      <c r="C74" s="202"/>
      <c r="D74" s="203"/>
      <c r="E74" s="202"/>
      <c r="F74" s="202"/>
      <c r="G74" s="202"/>
      <c r="H74" s="202"/>
      <c r="I74" s="217" t="s">
        <v>31</v>
      </c>
      <c r="J74" s="225"/>
      <c r="K74" s="202"/>
      <c r="L74" s="202"/>
      <c r="M74" s="202"/>
      <c r="N74" s="203"/>
      <c r="O74" s="202"/>
      <c r="P74" s="202"/>
      <c r="Q74" s="202"/>
      <c r="R74" s="202"/>
      <c r="S74" s="202"/>
      <c r="T74" s="203"/>
      <c r="U74" s="202"/>
      <c r="V74" s="289"/>
      <c r="W74" s="21"/>
      <c r="X74" s="24"/>
      <c r="Y74" s="24"/>
      <c r="Z74" s="24"/>
      <c r="AA74" s="24"/>
      <c r="AB74" s="24"/>
      <c r="AC74" s="24"/>
      <c r="AD74" s="24"/>
      <c r="AE74" s="24"/>
      <c r="AF74" s="24"/>
      <c r="AG74" s="24"/>
      <c r="AH74" s="24"/>
      <c r="AI74" s="24"/>
      <c r="AJ74" s="24"/>
      <c r="AK74" s="24"/>
      <c r="AL74" s="24"/>
      <c r="AO74" s="26"/>
      <c r="AQ74" s="24"/>
      <c r="AR74" s="24"/>
      <c r="AS74" s="24"/>
      <c r="AT74" s="24"/>
      <c r="AU74" s="24"/>
      <c r="AV74" s="24"/>
      <c r="AW74" s="24"/>
      <c r="AX74" s="24"/>
      <c r="AY74" s="24"/>
      <c r="AZ74" s="24"/>
      <c r="BA74" s="24"/>
      <c r="BB74" s="24"/>
      <c r="BC74" s="24"/>
      <c r="BD74" s="24"/>
      <c r="BE74" s="24"/>
      <c r="BF74" s="22"/>
      <c r="BG74" s="26"/>
      <c r="BH74" s="22"/>
      <c r="BI74" s="24"/>
      <c r="BJ74" s="24"/>
      <c r="BK74" s="24"/>
      <c r="BL74" s="24"/>
      <c r="BM74" s="24"/>
      <c r="BN74" s="24"/>
      <c r="BO74" s="24"/>
      <c r="BP74" s="24"/>
      <c r="BQ74" s="24"/>
      <c r="BR74" s="24"/>
      <c r="BS74" s="24"/>
      <c r="BT74" s="24"/>
      <c r="BU74" s="24"/>
      <c r="BV74" s="24"/>
      <c r="BW74" s="24"/>
      <c r="BX74" s="24"/>
      <c r="BY74" s="24"/>
      <c r="BZ74" s="24"/>
      <c r="CA74" s="24"/>
      <c r="CB74" s="22"/>
      <c r="CC74" s="24"/>
      <c r="CD74" s="24"/>
      <c r="CE74" s="24"/>
      <c r="CF74" s="24"/>
      <c r="CG74" s="24"/>
      <c r="CH74" s="22"/>
      <c r="CI74" s="24"/>
      <c r="CJ74" s="24"/>
      <c r="CK74" s="22"/>
      <c r="CL74" s="22"/>
      <c r="CM74" s="22"/>
      <c r="CN74" s="22"/>
      <c r="CO74" s="22"/>
      <c r="CP74" s="21"/>
      <c r="CQ74" s="21"/>
      <c r="CR74" s="21"/>
      <c r="CS74" s="21"/>
      <c r="CT74" s="21"/>
      <c r="CU74" s="21"/>
      <c r="CV74" s="21"/>
      <c r="CW74" s="21"/>
      <c r="CX74" s="21"/>
      <c r="CY74" s="21"/>
      <c r="CZ74" s="21"/>
      <c r="DA74" s="21"/>
    </row>
    <row r="75" spans="1:105" s="25" customFormat="1" ht="15.75" customHeight="1" x14ac:dyDescent="0.55000000000000004">
      <c r="A75" s="211"/>
      <c r="B75" s="223"/>
      <c r="C75" s="119"/>
      <c r="D75" s="191"/>
      <c r="E75" s="21"/>
      <c r="F75" s="21"/>
      <c r="G75" s="21"/>
      <c r="H75" s="21"/>
      <c r="I75" s="214"/>
      <c r="J75" s="223"/>
      <c r="K75" s="21"/>
      <c r="L75" s="21"/>
      <c r="M75" s="21"/>
      <c r="N75" s="191"/>
      <c r="O75" s="21"/>
      <c r="P75" s="21"/>
      <c r="Q75" s="21"/>
      <c r="R75" s="21"/>
      <c r="S75" s="21"/>
      <c r="T75" s="191"/>
      <c r="U75" s="21"/>
      <c r="V75" s="289"/>
      <c r="W75" s="21"/>
      <c r="X75" s="24"/>
      <c r="Y75" s="24"/>
      <c r="Z75" s="24"/>
      <c r="AA75" s="24"/>
      <c r="AB75" s="24"/>
      <c r="AC75" s="24"/>
      <c r="AD75" s="24"/>
      <c r="AE75" s="24"/>
      <c r="AF75" s="24"/>
      <c r="AG75" s="24"/>
      <c r="AH75" s="24"/>
      <c r="AI75" s="24"/>
      <c r="AJ75" s="24"/>
      <c r="AK75" s="24"/>
      <c r="AL75" s="24"/>
      <c r="AO75" s="26"/>
      <c r="AQ75" s="24"/>
      <c r="AR75" s="24"/>
      <c r="AS75" s="24"/>
      <c r="AT75" s="24"/>
      <c r="AU75" s="24"/>
      <c r="AV75" s="24"/>
      <c r="AW75" s="24"/>
      <c r="AX75" s="24"/>
      <c r="AY75" s="24"/>
      <c r="AZ75" s="24"/>
      <c r="BA75" s="24"/>
      <c r="BB75" s="24"/>
      <c r="BC75" s="24"/>
      <c r="BD75" s="24"/>
      <c r="BE75" s="24"/>
      <c r="BF75" s="22"/>
      <c r="BG75" s="26"/>
      <c r="BH75" s="22"/>
      <c r="BI75" s="24"/>
      <c r="BJ75" s="24"/>
      <c r="BK75" s="24"/>
      <c r="BL75" s="24"/>
      <c r="BM75" s="24"/>
      <c r="BN75" s="24"/>
      <c r="BO75" s="24"/>
      <c r="BP75" s="24"/>
      <c r="BQ75" s="24"/>
      <c r="BR75" s="24"/>
      <c r="BS75" s="24"/>
      <c r="BT75" s="24"/>
      <c r="BU75" s="24"/>
      <c r="BV75" s="24"/>
      <c r="BW75" s="24"/>
      <c r="BX75" s="24"/>
      <c r="BY75" s="24"/>
      <c r="BZ75" s="24"/>
      <c r="CA75" s="24"/>
      <c r="CB75" s="22"/>
      <c r="CC75" s="24"/>
      <c r="CD75" s="24"/>
      <c r="CE75" s="24"/>
      <c r="CF75" s="24"/>
      <c r="CG75" s="24"/>
      <c r="CH75" s="22"/>
      <c r="CI75" s="24"/>
      <c r="CJ75" s="24"/>
      <c r="CK75" s="22"/>
      <c r="CL75" s="22"/>
      <c r="CM75" s="22"/>
      <c r="CN75" s="22"/>
      <c r="CO75" s="22"/>
      <c r="CP75" s="21"/>
      <c r="CQ75" s="21"/>
      <c r="CR75" s="21"/>
      <c r="CS75" s="21"/>
      <c r="CT75" s="21"/>
      <c r="CU75" s="21"/>
      <c r="CV75" s="21"/>
      <c r="CW75" s="21"/>
      <c r="CX75" s="21"/>
      <c r="CY75" s="21"/>
      <c r="CZ75" s="21"/>
      <c r="DA75" s="21"/>
    </row>
    <row r="76" spans="1:105" s="25" customFormat="1" ht="15.75" customHeight="1" x14ac:dyDescent="0.55000000000000004">
      <c r="A76" s="212"/>
      <c r="B76" s="228" t="s">
        <v>198</v>
      </c>
      <c r="D76" s="191"/>
      <c r="E76" s="21"/>
      <c r="G76" s="21"/>
      <c r="H76" s="21"/>
      <c r="I76" s="214"/>
      <c r="J76" s="223"/>
      <c r="K76" s="21"/>
      <c r="L76" s="21"/>
      <c r="M76" s="21"/>
      <c r="N76" s="191"/>
      <c r="O76" s="21"/>
      <c r="P76" s="21"/>
      <c r="Q76" s="21"/>
      <c r="R76" s="21"/>
      <c r="S76" s="21"/>
      <c r="T76" s="191"/>
      <c r="U76" s="21"/>
      <c r="V76" s="289"/>
      <c r="W76" s="21"/>
      <c r="X76" s="24"/>
      <c r="Y76" s="23"/>
      <c r="Z76" s="308"/>
      <c r="AA76" s="308"/>
      <c r="AB76" s="308"/>
      <c r="AC76" s="24"/>
      <c r="AD76" s="24"/>
      <c r="AE76" s="24"/>
      <c r="AF76" s="24"/>
      <c r="AG76" s="24"/>
      <c r="AH76" s="24"/>
      <c r="AI76" s="24"/>
      <c r="AJ76" s="24"/>
      <c r="AK76" s="24"/>
      <c r="AL76" s="24"/>
      <c r="AO76" s="26"/>
      <c r="AQ76" s="24"/>
      <c r="AR76" s="24"/>
      <c r="AS76" s="24"/>
      <c r="AT76" s="24"/>
      <c r="AU76" s="24"/>
      <c r="AV76" s="24"/>
      <c r="AW76" s="24"/>
      <c r="AX76" s="24"/>
      <c r="AY76" s="24"/>
      <c r="AZ76" s="24"/>
      <c r="BA76" s="24"/>
      <c r="BB76" s="24"/>
      <c r="BC76" s="24"/>
      <c r="BD76" s="24"/>
      <c r="BE76" s="24"/>
      <c r="BF76" s="22"/>
      <c r="BG76" s="26"/>
      <c r="BH76" s="22"/>
      <c r="BI76" s="24"/>
      <c r="BJ76" s="24"/>
      <c r="BK76" s="24"/>
      <c r="BL76" s="24"/>
      <c r="BM76" s="24"/>
      <c r="BN76" s="24"/>
      <c r="BO76" s="24"/>
      <c r="BP76" s="24"/>
      <c r="BQ76" s="24"/>
      <c r="BR76" s="24"/>
      <c r="BS76" s="24"/>
      <c r="BT76" s="24"/>
      <c r="BU76" s="24"/>
      <c r="BV76" s="24"/>
      <c r="BW76" s="24"/>
      <c r="BX76" s="24"/>
      <c r="BY76" s="24"/>
      <c r="BZ76" s="24"/>
      <c r="CA76" s="24"/>
      <c r="CB76" s="22"/>
      <c r="CC76" s="24"/>
      <c r="CD76" s="24"/>
      <c r="CE76" s="24"/>
      <c r="CF76" s="24"/>
      <c r="CG76" s="24"/>
      <c r="CH76" s="22"/>
      <c r="CI76" s="24"/>
      <c r="CJ76" s="24"/>
      <c r="CK76" s="22"/>
      <c r="CL76" s="22"/>
      <c r="CM76" s="22"/>
      <c r="CN76" s="22"/>
      <c r="CO76" s="22"/>
      <c r="CP76" s="21"/>
      <c r="CQ76" s="21"/>
      <c r="CR76" s="21"/>
      <c r="CS76" s="21"/>
      <c r="CT76" s="21"/>
      <c r="CU76" s="21"/>
      <c r="CV76" s="21"/>
      <c r="CW76" s="21"/>
      <c r="CX76" s="21"/>
      <c r="CY76" s="21"/>
      <c r="CZ76" s="21"/>
      <c r="DA76" s="21"/>
    </row>
    <row r="77" spans="1:105" s="25" customFormat="1" ht="15.75" customHeight="1" x14ac:dyDescent="0.45">
      <c r="A77" s="212"/>
      <c r="B77" s="228"/>
      <c r="C77" s="119" t="s">
        <v>355</v>
      </c>
      <c r="D77" s="191" t="s">
        <v>21</v>
      </c>
      <c r="E77" s="150">
        <v>60</v>
      </c>
      <c r="F77" s="150">
        <v>110</v>
      </c>
      <c r="G77" s="21"/>
      <c r="H77" s="21"/>
      <c r="I77" s="214"/>
      <c r="J77" s="223"/>
      <c r="K77" s="21"/>
      <c r="L77" s="21"/>
      <c r="M77" s="21"/>
      <c r="N77" s="191"/>
      <c r="O77" s="21"/>
      <c r="P77" s="21"/>
      <c r="Q77" s="21"/>
      <c r="R77" s="21"/>
      <c r="S77" s="21"/>
      <c r="T77" s="191"/>
      <c r="U77" s="21"/>
      <c r="V77" s="289"/>
      <c r="W77" s="21"/>
      <c r="X77" s="21"/>
      <c r="Y77" s="23"/>
      <c r="Z77" s="23"/>
      <c r="AA77" s="24"/>
      <c r="AB77" s="24"/>
      <c r="AC77" s="24"/>
      <c r="AD77" s="24"/>
      <c r="AE77" s="24"/>
      <c r="AF77" s="24"/>
      <c r="AG77" s="24"/>
      <c r="AH77" s="24"/>
      <c r="AI77" s="24"/>
      <c r="AJ77" s="24"/>
      <c r="AK77" s="24"/>
      <c r="AL77" s="24"/>
      <c r="AO77" s="26"/>
      <c r="AQ77" s="24"/>
      <c r="AR77" s="24"/>
      <c r="AS77" s="24"/>
      <c r="AT77" s="24"/>
      <c r="AU77" s="24"/>
      <c r="AV77" s="24"/>
      <c r="AW77" s="24"/>
      <c r="AX77" s="24"/>
      <c r="AY77" s="24"/>
      <c r="AZ77" s="24"/>
      <c r="BA77" s="24"/>
      <c r="BB77" s="24"/>
      <c r="BC77" s="24"/>
      <c r="BD77" s="24"/>
      <c r="BE77" s="24"/>
      <c r="BF77" s="22"/>
      <c r="BG77" s="26"/>
      <c r="BH77" s="22"/>
      <c r="BI77" s="24"/>
      <c r="BJ77" s="24"/>
      <c r="BK77" s="24"/>
      <c r="BL77" s="24"/>
      <c r="BM77" s="24"/>
      <c r="BN77" s="24"/>
      <c r="BO77" s="24"/>
      <c r="BP77" s="24"/>
      <c r="BQ77" s="24"/>
      <c r="BR77" s="24"/>
      <c r="BS77" s="24"/>
      <c r="BT77" s="24"/>
      <c r="BU77" s="24"/>
      <c r="BV77" s="24"/>
      <c r="BW77" s="24"/>
      <c r="BX77" s="24"/>
      <c r="BY77" s="24"/>
      <c r="BZ77" s="24"/>
      <c r="CA77" s="24"/>
      <c r="CB77" s="22"/>
      <c r="CC77" s="24"/>
      <c r="CD77" s="24"/>
      <c r="CE77" s="24"/>
      <c r="CF77" s="24"/>
      <c r="CG77" s="24"/>
      <c r="CH77" s="22"/>
      <c r="CI77" s="24"/>
      <c r="CJ77" s="24"/>
      <c r="CK77" s="22"/>
      <c r="CL77" s="22"/>
      <c r="CM77" s="22"/>
      <c r="CN77" s="22"/>
      <c r="CO77" s="22"/>
      <c r="CP77" s="21"/>
      <c r="CQ77" s="21"/>
      <c r="CR77" s="21"/>
      <c r="CS77" s="21"/>
      <c r="CT77" s="21"/>
      <c r="CU77" s="21"/>
      <c r="CV77" s="21"/>
      <c r="CW77" s="21"/>
      <c r="CX77" s="21"/>
      <c r="CY77" s="21"/>
      <c r="CZ77" s="21"/>
      <c r="DA77" s="21"/>
    </row>
    <row r="78" spans="1:105" s="25" customFormat="1" ht="15.75" customHeight="1" x14ac:dyDescent="0.45">
      <c r="A78" s="258"/>
      <c r="B78" s="259"/>
      <c r="C78" s="119" t="s">
        <v>356</v>
      </c>
      <c r="D78" s="191" t="s">
        <v>353</v>
      </c>
      <c r="E78" s="183">
        <v>6</v>
      </c>
      <c r="F78" s="183">
        <v>6</v>
      </c>
      <c r="G78" s="21"/>
      <c r="H78" s="21"/>
      <c r="I78" s="214"/>
      <c r="J78" s="223"/>
      <c r="K78" s="21"/>
      <c r="L78" s="21"/>
      <c r="M78" s="21"/>
      <c r="N78" s="191"/>
      <c r="O78" s="21"/>
      <c r="P78" s="21"/>
      <c r="Q78" s="21"/>
      <c r="R78" s="21"/>
      <c r="S78" s="21"/>
      <c r="T78" s="191"/>
      <c r="U78" s="21"/>
      <c r="V78" s="289"/>
      <c r="W78" s="21"/>
      <c r="X78" s="21"/>
      <c r="Y78" s="23"/>
      <c r="Z78" s="23"/>
      <c r="AA78" s="24"/>
      <c r="AB78" s="24"/>
      <c r="AC78" s="24"/>
      <c r="AD78" s="24"/>
      <c r="AE78" s="24"/>
      <c r="AF78" s="24"/>
      <c r="AG78" s="24"/>
      <c r="AH78" s="24"/>
      <c r="AI78" s="24"/>
      <c r="AJ78" s="24"/>
      <c r="AK78" s="24"/>
      <c r="AL78" s="24"/>
      <c r="AO78" s="26"/>
      <c r="AQ78" s="24"/>
      <c r="AR78" s="24"/>
      <c r="AS78" s="24"/>
      <c r="AT78" s="24"/>
      <c r="AU78" s="24"/>
      <c r="AV78" s="24"/>
      <c r="AW78" s="24"/>
      <c r="AX78" s="24"/>
      <c r="AY78" s="24"/>
      <c r="AZ78" s="24"/>
      <c r="BA78" s="24"/>
      <c r="BB78" s="24"/>
      <c r="BC78" s="24"/>
      <c r="BD78" s="24"/>
      <c r="BE78" s="24"/>
      <c r="BF78" s="22"/>
      <c r="BG78" s="26"/>
      <c r="BH78" s="22"/>
      <c r="BI78" s="24"/>
      <c r="BJ78" s="24"/>
      <c r="BK78" s="24"/>
      <c r="BL78" s="24"/>
      <c r="BM78" s="24"/>
      <c r="BN78" s="24"/>
      <c r="BO78" s="24"/>
      <c r="BP78" s="24"/>
      <c r="BQ78" s="24"/>
      <c r="BR78" s="24"/>
      <c r="BS78" s="24"/>
      <c r="BT78" s="24"/>
      <c r="BU78" s="24"/>
      <c r="BV78" s="24"/>
      <c r="BW78" s="24"/>
      <c r="BX78" s="24"/>
      <c r="BY78" s="24"/>
      <c r="BZ78" s="24"/>
      <c r="CA78" s="24"/>
      <c r="CB78" s="22"/>
      <c r="CC78" s="24"/>
      <c r="CD78" s="24"/>
      <c r="CE78" s="24"/>
      <c r="CF78" s="24"/>
      <c r="CG78" s="24"/>
      <c r="CH78" s="22"/>
      <c r="CI78" s="24"/>
      <c r="CJ78" s="24"/>
      <c r="CK78" s="22"/>
      <c r="CL78" s="22"/>
      <c r="CM78" s="22"/>
      <c r="CN78" s="22"/>
      <c r="CO78" s="22"/>
      <c r="CP78" s="21"/>
      <c r="CQ78" s="21"/>
      <c r="CR78" s="21"/>
      <c r="CS78" s="21"/>
      <c r="CT78" s="21"/>
      <c r="CU78" s="21"/>
      <c r="CV78" s="21"/>
      <c r="CW78" s="21"/>
      <c r="CX78" s="21"/>
      <c r="CY78" s="21"/>
      <c r="CZ78" s="21"/>
      <c r="DA78" s="21"/>
    </row>
    <row r="79" spans="1:105" s="25" customFormat="1" ht="15.75" customHeight="1" x14ac:dyDescent="0.45">
      <c r="A79" s="258"/>
      <c r="B79" s="259"/>
      <c r="C79" s="21" t="s">
        <v>357</v>
      </c>
      <c r="D79" s="191" t="s">
        <v>21</v>
      </c>
      <c r="E79" s="150">
        <v>70</v>
      </c>
      <c r="F79" s="150">
        <v>110</v>
      </c>
      <c r="G79" s="21"/>
      <c r="H79" s="21"/>
      <c r="I79" s="214"/>
      <c r="J79" s="223"/>
      <c r="K79" s="21"/>
      <c r="L79" s="21"/>
      <c r="M79" s="21"/>
      <c r="N79" s="191"/>
      <c r="O79" s="21"/>
      <c r="P79" s="21"/>
      <c r="Q79" s="21"/>
      <c r="R79" s="21"/>
      <c r="S79" s="21"/>
      <c r="T79" s="191"/>
      <c r="U79" s="21"/>
      <c r="V79" s="289"/>
      <c r="W79" s="21"/>
      <c r="X79" s="21"/>
      <c r="Y79" s="23"/>
      <c r="Z79" s="23"/>
      <c r="AA79" s="24"/>
      <c r="AB79" s="24"/>
      <c r="AC79" s="24"/>
      <c r="AD79" s="24"/>
      <c r="AE79" s="24"/>
      <c r="AF79" s="24"/>
      <c r="AG79" s="24"/>
      <c r="AH79" s="24"/>
      <c r="AI79" s="24"/>
      <c r="AJ79" s="24"/>
      <c r="AK79" s="24"/>
      <c r="AL79" s="24"/>
      <c r="AO79" s="26"/>
      <c r="AQ79" s="24"/>
      <c r="AR79" s="24"/>
      <c r="AS79" s="24"/>
      <c r="AT79" s="24"/>
      <c r="AU79" s="24"/>
      <c r="AV79" s="24"/>
      <c r="AW79" s="24"/>
      <c r="AX79" s="24"/>
      <c r="AY79" s="24"/>
      <c r="AZ79" s="24"/>
      <c r="BA79" s="24"/>
      <c r="BB79" s="24"/>
      <c r="BC79" s="24"/>
      <c r="BD79" s="24"/>
      <c r="BE79" s="24"/>
      <c r="BF79" s="22"/>
      <c r="BG79" s="26"/>
      <c r="BH79" s="22"/>
      <c r="BI79" s="24"/>
      <c r="BJ79" s="24"/>
      <c r="BK79" s="24"/>
      <c r="BL79" s="24"/>
      <c r="BM79" s="24"/>
      <c r="BN79" s="24"/>
      <c r="BO79" s="24"/>
      <c r="BP79" s="24"/>
      <c r="BQ79" s="24"/>
      <c r="BR79" s="24"/>
      <c r="BS79" s="24"/>
      <c r="BT79" s="24"/>
      <c r="BU79" s="24"/>
      <c r="BV79" s="24"/>
      <c r="BW79" s="24"/>
      <c r="BX79" s="24"/>
      <c r="BY79" s="24"/>
      <c r="BZ79" s="24"/>
      <c r="CA79" s="24"/>
      <c r="CB79" s="22"/>
      <c r="CC79" s="24"/>
      <c r="CD79" s="24"/>
      <c r="CE79" s="24"/>
      <c r="CF79" s="24"/>
      <c r="CG79" s="24"/>
      <c r="CH79" s="22"/>
      <c r="CI79" s="24"/>
      <c r="CJ79" s="24"/>
      <c r="CK79" s="22"/>
      <c r="CL79" s="22"/>
      <c r="CM79" s="22"/>
      <c r="CN79" s="22"/>
      <c r="CO79" s="22"/>
      <c r="CP79" s="21"/>
      <c r="CQ79" s="21"/>
      <c r="CR79" s="21"/>
      <c r="CS79" s="21"/>
      <c r="CT79" s="21"/>
      <c r="CU79" s="21"/>
      <c r="CV79" s="21"/>
      <c r="CW79" s="21"/>
      <c r="CX79" s="21"/>
      <c r="CY79" s="21"/>
      <c r="CZ79" s="21"/>
      <c r="DA79" s="21"/>
    </row>
    <row r="80" spans="1:105" s="25" customFormat="1" ht="15.75" customHeight="1" x14ac:dyDescent="0.45">
      <c r="A80" s="21"/>
      <c r="B80" s="21"/>
      <c r="C80" s="21" t="s">
        <v>358</v>
      </c>
      <c r="D80" s="191" t="s">
        <v>21</v>
      </c>
      <c r="E80" s="168">
        <f>AB49</f>
        <v>1350</v>
      </c>
      <c r="F80" s="168">
        <f>BN49</f>
        <v>2200</v>
      </c>
      <c r="G80" s="21"/>
      <c r="H80" s="21"/>
      <c r="I80" s="214"/>
      <c r="J80" s="223"/>
      <c r="K80" s="21"/>
      <c r="L80" s="21"/>
      <c r="M80" s="21"/>
      <c r="N80" s="191"/>
      <c r="O80" s="21"/>
      <c r="P80" s="21"/>
      <c r="Q80" s="21"/>
      <c r="R80" s="21"/>
      <c r="S80" s="21"/>
      <c r="T80" s="191"/>
      <c r="U80" s="21"/>
      <c r="V80" s="289"/>
      <c r="W80" s="21"/>
      <c r="X80" s="21"/>
      <c r="Y80" s="23"/>
      <c r="Z80" s="23"/>
      <c r="AA80" s="24"/>
      <c r="AB80" s="24"/>
      <c r="AC80" s="24"/>
      <c r="AD80" s="24"/>
      <c r="AE80" s="24"/>
      <c r="AF80" s="24"/>
      <c r="AG80" s="24"/>
      <c r="AH80" s="24"/>
      <c r="AI80" s="24"/>
      <c r="AJ80" s="24"/>
      <c r="AK80" s="24"/>
      <c r="AL80" s="24"/>
      <c r="AO80" s="26"/>
      <c r="AQ80" s="24"/>
      <c r="AR80" s="24"/>
      <c r="AS80" s="24"/>
      <c r="AT80" s="24"/>
      <c r="AU80" s="24"/>
      <c r="AV80" s="24"/>
      <c r="AW80" s="24"/>
      <c r="AX80" s="24"/>
      <c r="AY80" s="24"/>
      <c r="AZ80" s="24"/>
      <c r="BA80" s="24"/>
      <c r="BB80" s="24"/>
      <c r="BC80" s="24"/>
      <c r="BD80" s="24"/>
      <c r="BE80" s="24"/>
      <c r="BF80" s="22"/>
      <c r="BG80" s="26"/>
      <c r="BH80" s="22"/>
      <c r="BI80" s="24"/>
      <c r="BJ80" s="24"/>
      <c r="BK80" s="24"/>
      <c r="BL80" s="24"/>
      <c r="BM80" s="24"/>
      <c r="BN80" s="24"/>
      <c r="BO80" s="24"/>
      <c r="BP80" s="24"/>
      <c r="BQ80" s="24"/>
      <c r="BR80" s="24"/>
      <c r="BS80" s="24"/>
      <c r="BT80" s="24"/>
      <c r="BU80" s="24"/>
      <c r="BV80" s="24"/>
      <c r="BW80" s="24"/>
      <c r="BX80" s="24"/>
      <c r="BY80" s="24"/>
      <c r="BZ80" s="24"/>
      <c r="CA80" s="24"/>
      <c r="CB80" s="22"/>
      <c r="CC80" s="24"/>
      <c r="CD80" s="24"/>
      <c r="CE80" s="24"/>
      <c r="CF80" s="24"/>
      <c r="CG80" s="24"/>
      <c r="CH80" s="22"/>
      <c r="CI80" s="24"/>
      <c r="CJ80" s="24"/>
      <c r="CK80" s="22"/>
      <c r="CL80" s="22"/>
      <c r="CM80" s="22"/>
      <c r="CN80" s="22"/>
      <c r="CO80" s="22"/>
      <c r="CP80" s="21"/>
      <c r="CQ80" s="21"/>
      <c r="CR80" s="21"/>
      <c r="CS80" s="21"/>
      <c r="CT80" s="21"/>
      <c r="CU80" s="21"/>
      <c r="CV80" s="21"/>
      <c r="CW80" s="21"/>
      <c r="CX80" s="21"/>
      <c r="CY80" s="21"/>
      <c r="CZ80" s="21"/>
      <c r="DA80" s="21"/>
    </row>
    <row r="81" spans="1:105" s="25" customFormat="1" ht="15.75" customHeight="1" x14ac:dyDescent="0.55000000000000004">
      <c r="A81" s="21"/>
      <c r="B81" s="21"/>
      <c r="C81" s="21"/>
      <c r="D81" s="191"/>
      <c r="E81" s="21"/>
      <c r="F81" s="21"/>
      <c r="G81" s="21"/>
      <c r="H81" s="21"/>
      <c r="I81" s="214"/>
      <c r="J81" s="223"/>
      <c r="K81" s="21"/>
      <c r="L81" s="21"/>
      <c r="M81" s="21"/>
      <c r="N81" s="191"/>
      <c r="O81" s="21"/>
      <c r="P81" s="21"/>
      <c r="Q81" s="21"/>
      <c r="R81" s="21"/>
      <c r="S81" s="21"/>
      <c r="T81" s="191"/>
      <c r="U81" s="21"/>
      <c r="V81" s="289"/>
      <c r="W81" s="21"/>
      <c r="X81" s="21"/>
      <c r="Y81" s="23"/>
      <c r="Z81" s="23"/>
      <c r="AA81" s="24"/>
      <c r="AB81" s="24"/>
      <c r="AC81" s="24"/>
      <c r="AD81" s="24"/>
      <c r="AE81" s="24"/>
      <c r="AF81" s="24"/>
      <c r="AG81" s="24"/>
      <c r="AH81" s="24"/>
      <c r="AI81" s="24"/>
      <c r="AJ81" s="24"/>
      <c r="AK81" s="24"/>
      <c r="AL81" s="24"/>
      <c r="AO81" s="26"/>
      <c r="AQ81" s="24"/>
      <c r="AR81" s="24"/>
      <c r="AS81" s="24"/>
      <c r="AT81" s="24"/>
      <c r="AU81" s="24"/>
      <c r="AV81" s="24"/>
      <c r="AW81" s="24"/>
      <c r="AX81" s="24"/>
      <c r="AY81" s="24"/>
      <c r="AZ81" s="24"/>
      <c r="BA81" s="24"/>
      <c r="BB81" s="24"/>
      <c r="BC81" s="24"/>
      <c r="BD81" s="24"/>
      <c r="BE81" s="24"/>
      <c r="BF81" s="22"/>
      <c r="BG81" s="26"/>
      <c r="BH81" s="22"/>
      <c r="BI81" s="24"/>
      <c r="BJ81" s="24"/>
      <c r="BK81" s="24"/>
      <c r="BL81" s="24"/>
      <c r="BM81" s="24"/>
      <c r="BN81" s="24"/>
      <c r="BO81" s="24"/>
      <c r="BP81" s="24"/>
      <c r="BQ81" s="24"/>
      <c r="BR81" s="24"/>
      <c r="BS81" s="24"/>
      <c r="BT81" s="24"/>
      <c r="BU81" s="24"/>
      <c r="BV81" s="24"/>
      <c r="BW81" s="24"/>
      <c r="BX81" s="24"/>
      <c r="BY81" s="24"/>
      <c r="BZ81" s="24"/>
      <c r="CA81" s="24"/>
      <c r="CB81" s="22"/>
      <c r="CC81" s="24"/>
      <c r="CD81" s="24"/>
      <c r="CE81" s="24"/>
      <c r="CF81" s="24"/>
      <c r="CG81" s="24"/>
      <c r="CH81" s="22"/>
      <c r="CI81" s="24"/>
      <c r="CJ81" s="24"/>
      <c r="CK81" s="22"/>
      <c r="CL81" s="22"/>
      <c r="CM81" s="22"/>
      <c r="CN81" s="22"/>
      <c r="CO81" s="22"/>
      <c r="CP81" s="21"/>
      <c r="CQ81" s="21"/>
      <c r="CR81" s="21"/>
      <c r="CS81" s="21"/>
      <c r="CT81" s="21"/>
      <c r="CU81" s="21"/>
      <c r="CV81" s="21"/>
      <c r="CW81" s="21"/>
      <c r="CX81" s="21"/>
      <c r="CY81" s="21"/>
      <c r="CZ81" s="21"/>
      <c r="DA81" s="21"/>
    </row>
    <row r="82" spans="1:105" s="25" customFormat="1" ht="15.75" customHeight="1" x14ac:dyDescent="0.55000000000000004">
      <c r="A82" s="258"/>
      <c r="B82" s="259" t="s">
        <v>359</v>
      </c>
      <c r="C82" s="250"/>
      <c r="D82" s="191"/>
      <c r="E82" s="21"/>
      <c r="F82" s="21"/>
      <c r="G82" s="21"/>
      <c r="H82" s="21"/>
      <c r="I82" s="214"/>
      <c r="J82" s="223"/>
      <c r="K82" s="21"/>
      <c r="L82" s="21"/>
      <c r="M82" s="21"/>
      <c r="N82" s="191"/>
      <c r="O82" s="21"/>
      <c r="P82" s="21"/>
      <c r="Q82" s="21"/>
      <c r="R82" s="21"/>
      <c r="S82" s="21"/>
      <c r="T82" s="191"/>
      <c r="U82" s="21"/>
      <c r="V82" s="289"/>
      <c r="W82" s="21"/>
      <c r="X82" s="21"/>
      <c r="Y82" s="23"/>
      <c r="Z82" s="23"/>
      <c r="AA82" s="24"/>
      <c r="AB82" s="24"/>
      <c r="AC82" s="24"/>
      <c r="AD82" s="24"/>
      <c r="AE82" s="24"/>
      <c r="AF82" s="24"/>
      <c r="AG82" s="24"/>
      <c r="AH82" s="24"/>
      <c r="AI82" s="24"/>
      <c r="AJ82" s="24"/>
      <c r="AK82" s="24"/>
      <c r="AL82" s="24"/>
      <c r="AO82" s="26"/>
      <c r="AQ82" s="24"/>
      <c r="AR82" s="24"/>
      <c r="AS82" s="24"/>
      <c r="AT82" s="24"/>
      <c r="AU82" s="24"/>
      <c r="AV82" s="24"/>
      <c r="AW82" s="24"/>
      <c r="AX82" s="24"/>
      <c r="AY82" s="24"/>
      <c r="AZ82" s="24"/>
      <c r="BA82" s="24"/>
      <c r="BB82" s="24"/>
      <c r="BC82" s="24"/>
      <c r="BD82" s="24"/>
      <c r="BE82" s="24"/>
      <c r="BF82" s="22"/>
      <c r="BG82" s="26"/>
      <c r="BH82" s="22"/>
      <c r="BI82" s="24"/>
      <c r="BJ82" s="24"/>
      <c r="BK82" s="24"/>
      <c r="BL82" s="24"/>
      <c r="BM82" s="24"/>
      <c r="BN82" s="24"/>
      <c r="BO82" s="24"/>
      <c r="BP82" s="24"/>
      <c r="BQ82" s="24"/>
      <c r="BR82" s="24"/>
      <c r="BS82" s="24"/>
      <c r="BT82" s="24"/>
      <c r="BU82" s="24"/>
      <c r="BV82" s="24"/>
      <c r="BW82" s="24"/>
      <c r="BX82" s="24"/>
      <c r="BY82" s="24"/>
      <c r="BZ82" s="24"/>
      <c r="CA82" s="24"/>
      <c r="CB82" s="22"/>
      <c r="CC82" s="24"/>
      <c r="CD82" s="24"/>
      <c r="CE82" s="24"/>
      <c r="CF82" s="24"/>
      <c r="CG82" s="24"/>
      <c r="CH82" s="22"/>
      <c r="CI82" s="24"/>
      <c r="CJ82" s="24"/>
      <c r="CK82" s="22"/>
      <c r="CL82" s="22"/>
      <c r="CM82" s="22"/>
      <c r="CN82" s="22"/>
      <c r="CO82" s="22"/>
      <c r="CP82" s="21"/>
      <c r="CQ82" s="21"/>
      <c r="CR82" s="21"/>
      <c r="CS82" s="21"/>
      <c r="CT82" s="21"/>
      <c r="CU82" s="21"/>
      <c r="CV82" s="21"/>
      <c r="CW82" s="21"/>
      <c r="CX82" s="21"/>
      <c r="CY82" s="21"/>
      <c r="CZ82" s="21"/>
      <c r="DA82" s="21"/>
    </row>
    <row r="83" spans="1:105" s="25" customFormat="1" ht="15.75" customHeight="1" x14ac:dyDescent="0.45">
      <c r="A83" s="258"/>
      <c r="B83" s="259"/>
      <c r="C83" s="119" t="s">
        <v>331</v>
      </c>
      <c r="D83" s="191" t="s">
        <v>21</v>
      </c>
      <c r="E83" s="183"/>
      <c r="F83" s="183">
        <v>50</v>
      </c>
      <c r="G83" s="21"/>
      <c r="H83" s="21"/>
      <c r="I83" s="214"/>
      <c r="J83" s="223"/>
      <c r="K83" s="21"/>
      <c r="L83" s="21"/>
      <c r="M83" s="21"/>
      <c r="N83" s="191"/>
      <c r="O83" s="21"/>
      <c r="P83" s="21"/>
      <c r="Q83" s="21"/>
      <c r="R83" s="21"/>
      <c r="S83" s="21"/>
      <c r="T83" s="191"/>
      <c r="U83" s="21"/>
      <c r="V83" s="289"/>
      <c r="W83" s="21"/>
      <c r="X83" s="21"/>
      <c r="Y83" s="23"/>
      <c r="Z83" s="23"/>
      <c r="AA83" s="24"/>
      <c r="AB83" s="24"/>
      <c r="AC83" s="24"/>
      <c r="AD83" s="24"/>
      <c r="AE83" s="24"/>
      <c r="AF83" s="24"/>
      <c r="AG83" s="24"/>
      <c r="AH83" s="24"/>
      <c r="AI83" s="24"/>
      <c r="AJ83" s="24"/>
      <c r="AK83" s="24"/>
      <c r="AL83" s="24"/>
      <c r="AO83" s="26"/>
      <c r="AQ83" s="24"/>
      <c r="AR83" s="24"/>
      <c r="AS83" s="24"/>
      <c r="AT83" s="24"/>
      <c r="AU83" s="24"/>
      <c r="AV83" s="24"/>
      <c r="AW83" s="24"/>
      <c r="AX83" s="24"/>
      <c r="AY83" s="24"/>
      <c r="AZ83" s="24"/>
      <c r="BA83" s="24"/>
      <c r="BB83" s="24"/>
      <c r="BC83" s="24"/>
      <c r="BD83" s="24"/>
      <c r="BE83" s="24"/>
      <c r="BF83" s="22"/>
      <c r="BG83" s="26"/>
      <c r="BH83" s="22"/>
      <c r="BI83" s="24"/>
      <c r="BJ83" s="24"/>
      <c r="BK83" s="24"/>
      <c r="BL83" s="24"/>
      <c r="BM83" s="24"/>
      <c r="BN83" s="24"/>
      <c r="BO83" s="24"/>
      <c r="BP83" s="24"/>
      <c r="BQ83" s="24"/>
      <c r="BR83" s="24"/>
      <c r="BS83" s="24"/>
      <c r="BT83" s="24"/>
      <c r="BU83" s="24"/>
      <c r="BV83" s="24"/>
      <c r="BW83" s="24"/>
      <c r="BX83" s="24"/>
      <c r="BY83" s="24"/>
      <c r="BZ83" s="24"/>
      <c r="CA83" s="24"/>
      <c r="CB83" s="22"/>
      <c r="CC83" s="24"/>
      <c r="CD83" s="24"/>
      <c r="CE83" s="24"/>
      <c r="CF83" s="24"/>
      <c r="CG83" s="24"/>
      <c r="CH83" s="22"/>
      <c r="CI83" s="24"/>
      <c r="CJ83" s="24"/>
      <c r="CK83" s="22"/>
      <c r="CL83" s="22"/>
      <c r="CM83" s="22"/>
      <c r="CN83" s="22"/>
      <c r="CO83" s="22"/>
      <c r="CP83" s="21"/>
      <c r="CQ83" s="21"/>
      <c r="CR83" s="21"/>
      <c r="CS83" s="21"/>
      <c r="CT83" s="21"/>
      <c r="CU83" s="21"/>
      <c r="CV83" s="21"/>
      <c r="CW83" s="21"/>
      <c r="CX83" s="21"/>
      <c r="CY83" s="21"/>
      <c r="CZ83" s="21"/>
      <c r="DA83" s="21"/>
    </row>
    <row r="84" spans="1:105" s="25" customFormat="1" ht="15.75" customHeight="1" x14ac:dyDescent="0.55000000000000004">
      <c r="A84" s="211"/>
      <c r="G84" s="21"/>
      <c r="H84" s="21"/>
      <c r="I84" s="214"/>
      <c r="K84" s="250"/>
      <c r="L84" s="250"/>
      <c r="M84" s="250"/>
      <c r="N84" s="250"/>
      <c r="O84" s="250"/>
      <c r="P84" s="250"/>
      <c r="Q84" s="21"/>
      <c r="R84" s="21"/>
      <c r="S84" s="21"/>
      <c r="T84" s="191"/>
      <c r="U84" s="21"/>
      <c r="V84" s="289"/>
      <c r="W84" s="21"/>
      <c r="X84" s="21"/>
      <c r="Y84" s="23"/>
      <c r="Z84" s="23"/>
      <c r="AA84" s="24"/>
      <c r="AB84" s="24"/>
      <c r="AC84" s="24"/>
      <c r="AD84" s="24"/>
      <c r="AE84" s="24"/>
      <c r="AF84" s="24"/>
      <c r="AG84" s="24"/>
      <c r="AH84" s="24"/>
      <c r="AI84" s="24"/>
      <c r="AJ84" s="24"/>
      <c r="AK84" s="24"/>
      <c r="AL84" s="24"/>
      <c r="AO84" s="26"/>
      <c r="AQ84" s="24"/>
      <c r="AR84" s="24"/>
      <c r="AS84" s="24"/>
      <c r="AT84" s="24"/>
      <c r="AU84" s="24"/>
      <c r="AV84" s="24"/>
      <c r="AW84" s="24"/>
      <c r="AX84" s="24"/>
      <c r="AY84" s="24"/>
      <c r="AZ84" s="24"/>
      <c r="BA84" s="24"/>
      <c r="BB84" s="24"/>
      <c r="BC84" s="24"/>
      <c r="BD84" s="24"/>
      <c r="BE84" s="24"/>
      <c r="BF84" s="22"/>
      <c r="BG84" s="26"/>
      <c r="BH84" s="22"/>
      <c r="BI84" s="24"/>
      <c r="BJ84" s="24"/>
      <c r="BK84" s="24"/>
      <c r="BL84" s="24"/>
      <c r="BM84" s="24"/>
      <c r="BN84" s="24"/>
      <c r="BO84" s="24"/>
      <c r="BP84" s="24"/>
      <c r="BQ84" s="24"/>
      <c r="BR84" s="24"/>
      <c r="BS84" s="24"/>
      <c r="BT84" s="24"/>
      <c r="BU84" s="24"/>
      <c r="BV84" s="24"/>
      <c r="BW84" s="24"/>
      <c r="BX84" s="24"/>
      <c r="BY84" s="24"/>
      <c r="BZ84" s="24"/>
      <c r="CA84" s="24"/>
      <c r="CB84" s="22"/>
      <c r="CC84" s="24"/>
      <c r="CD84" s="24"/>
      <c r="CE84" s="24"/>
      <c r="CF84" s="24"/>
      <c r="CG84" s="24"/>
      <c r="CH84" s="22"/>
      <c r="CI84" s="24"/>
      <c r="CJ84" s="24"/>
      <c r="CK84" s="22"/>
      <c r="CL84" s="22"/>
      <c r="CM84" s="22"/>
      <c r="CN84" s="22"/>
      <c r="CO84" s="22"/>
      <c r="CP84" s="21"/>
      <c r="CQ84" s="21"/>
      <c r="CR84" s="21"/>
      <c r="CS84" s="21"/>
      <c r="CT84" s="21"/>
      <c r="CU84" s="21"/>
      <c r="CV84" s="21"/>
      <c r="CW84" s="21"/>
      <c r="CX84" s="21"/>
      <c r="CY84" s="21"/>
      <c r="CZ84" s="21"/>
      <c r="DA84" s="21"/>
    </row>
    <row r="85" spans="1:105" s="25" customFormat="1" ht="15.75" customHeight="1" x14ac:dyDescent="0.55000000000000004">
      <c r="A85" s="211"/>
      <c r="B85" s="226" t="s">
        <v>360</v>
      </c>
      <c r="G85" s="21"/>
      <c r="I85" s="214"/>
      <c r="J85" s="223" t="s">
        <v>361</v>
      </c>
      <c r="K85" s="21"/>
      <c r="L85" s="21"/>
      <c r="M85" s="21"/>
      <c r="N85" s="191"/>
      <c r="O85" s="21"/>
      <c r="P85" s="21"/>
      <c r="R85" s="21"/>
      <c r="S85" s="21"/>
      <c r="T85" s="191"/>
      <c r="U85" s="21"/>
      <c r="V85" s="289"/>
      <c r="W85" s="21"/>
      <c r="X85" s="21"/>
      <c r="Y85" s="23"/>
      <c r="Z85" s="23"/>
      <c r="AA85" s="24"/>
      <c r="AB85" s="24"/>
      <c r="AC85" s="24"/>
      <c r="AD85" s="24"/>
      <c r="AE85" s="24"/>
      <c r="AF85" s="24"/>
      <c r="AG85" s="24"/>
      <c r="AH85" s="24"/>
      <c r="AI85" s="24"/>
      <c r="AJ85" s="24"/>
      <c r="AK85" s="24"/>
      <c r="AL85" s="24"/>
      <c r="AO85" s="26"/>
      <c r="AQ85" s="24"/>
      <c r="AR85" s="24"/>
      <c r="AS85" s="24"/>
      <c r="AT85" s="24"/>
      <c r="AU85" s="24"/>
      <c r="AV85" s="24"/>
      <c r="AW85" s="24"/>
      <c r="AX85" s="24"/>
      <c r="AY85" s="24"/>
      <c r="AZ85" s="24"/>
      <c r="BA85" s="24"/>
      <c r="BB85" s="24"/>
      <c r="BC85" s="24"/>
      <c r="BD85" s="24"/>
      <c r="BE85" s="24"/>
      <c r="BF85" s="22"/>
      <c r="BG85" s="26"/>
      <c r="BH85" s="22"/>
      <c r="BI85" s="24"/>
      <c r="BJ85" s="24"/>
      <c r="BK85" s="24"/>
      <c r="BL85" s="24"/>
      <c r="BM85" s="24"/>
      <c r="BN85" s="24"/>
      <c r="BO85" s="24"/>
      <c r="BP85" s="24"/>
      <c r="BQ85" s="24"/>
      <c r="BR85" s="24"/>
      <c r="BS85" s="24"/>
      <c r="BT85" s="24"/>
      <c r="BU85" s="24"/>
      <c r="BV85" s="24"/>
      <c r="BW85" s="24"/>
      <c r="BX85" s="24"/>
      <c r="BY85" s="24"/>
      <c r="BZ85" s="24"/>
      <c r="CA85" s="24"/>
      <c r="CB85" s="22"/>
      <c r="CC85" s="24"/>
      <c r="CD85" s="24"/>
      <c r="CE85" s="24"/>
      <c r="CF85" s="24"/>
      <c r="CG85" s="24"/>
      <c r="CH85" s="22"/>
      <c r="CI85" s="24"/>
      <c r="CJ85" s="24"/>
      <c r="CK85" s="22"/>
      <c r="CL85" s="22"/>
      <c r="CM85" s="22"/>
      <c r="CN85" s="22"/>
      <c r="CO85" s="22"/>
      <c r="CP85" s="21"/>
      <c r="CQ85" s="21"/>
      <c r="CR85" s="21"/>
      <c r="CS85" s="21"/>
      <c r="CT85" s="21"/>
      <c r="CU85" s="21"/>
      <c r="CV85" s="21"/>
      <c r="CW85" s="21"/>
      <c r="CX85" s="21"/>
      <c r="CY85" s="21"/>
      <c r="CZ85" s="21"/>
      <c r="DA85" s="21"/>
    </row>
    <row r="86" spans="1:105" s="25" customFormat="1" ht="15.75" customHeight="1" x14ac:dyDescent="0.55000000000000004">
      <c r="A86" s="211"/>
      <c r="B86" s="226"/>
      <c r="C86" s="119" t="s">
        <v>34</v>
      </c>
      <c r="D86" s="191" t="s">
        <v>21</v>
      </c>
      <c r="E86" s="21" t="s">
        <v>362</v>
      </c>
      <c r="F86" s="21"/>
      <c r="G86" s="21"/>
      <c r="H86" s="21"/>
      <c r="I86" s="214"/>
      <c r="J86" s="223"/>
      <c r="K86" s="21" t="str">
        <f>K32</f>
        <v>施設整備費用</v>
      </c>
      <c r="L86" s="21"/>
      <c r="M86" s="21"/>
      <c r="N86" s="191" t="s">
        <v>21</v>
      </c>
      <c r="O86" s="21"/>
      <c r="P86" s="254">
        <f>P32</f>
        <v>2850</v>
      </c>
      <c r="R86" s="21"/>
      <c r="S86" s="21"/>
      <c r="T86" s="191"/>
      <c r="U86" s="21"/>
      <c r="V86" s="289"/>
      <c r="W86" s="21"/>
      <c r="X86" s="21"/>
      <c r="Y86" s="23"/>
      <c r="Z86" s="23"/>
      <c r="AA86" s="24"/>
      <c r="AB86" s="24"/>
      <c r="AC86" s="24"/>
      <c r="AD86" s="24"/>
      <c r="AE86" s="24"/>
      <c r="AF86" s="24"/>
      <c r="AG86" s="24"/>
      <c r="AH86" s="24"/>
      <c r="AI86" s="24"/>
      <c r="AJ86" s="24"/>
      <c r="AK86" s="24"/>
      <c r="AL86" s="24"/>
      <c r="AO86" s="26"/>
      <c r="AQ86" s="24"/>
      <c r="AR86" s="24"/>
      <c r="AS86" s="24"/>
      <c r="AT86" s="24"/>
      <c r="AU86" s="24"/>
      <c r="AV86" s="24"/>
      <c r="AW86" s="24"/>
      <c r="AX86" s="24"/>
      <c r="AY86" s="24"/>
      <c r="AZ86" s="24"/>
      <c r="BA86" s="24"/>
      <c r="BB86" s="24"/>
      <c r="BC86" s="24"/>
      <c r="BD86" s="24"/>
      <c r="BE86" s="24"/>
      <c r="BF86" s="22"/>
      <c r="BG86" s="26"/>
      <c r="BH86" s="22"/>
      <c r="BI86" s="24"/>
      <c r="BJ86" s="24"/>
      <c r="BK86" s="24"/>
      <c r="BL86" s="24"/>
      <c r="BM86" s="24"/>
      <c r="BN86" s="24"/>
      <c r="BO86" s="24"/>
      <c r="BP86" s="24"/>
      <c r="BQ86" s="24"/>
      <c r="BR86" s="24"/>
      <c r="BS86" s="24"/>
      <c r="BT86" s="24"/>
      <c r="BU86" s="24"/>
      <c r="BV86" s="24"/>
      <c r="BW86" s="24"/>
      <c r="BX86" s="24"/>
      <c r="BY86" s="24"/>
      <c r="BZ86" s="24"/>
      <c r="CA86" s="24"/>
      <c r="CB86" s="22"/>
      <c r="CC86" s="24"/>
      <c r="CD86" s="24"/>
      <c r="CE86" s="24"/>
      <c r="CF86" s="24"/>
      <c r="CG86" s="24"/>
      <c r="CH86" s="22"/>
      <c r="CI86" s="24"/>
      <c r="CJ86" s="24"/>
      <c r="CK86" s="22"/>
      <c r="CL86" s="22"/>
      <c r="CM86" s="22"/>
      <c r="CN86" s="22"/>
      <c r="CO86" s="22"/>
      <c r="CP86" s="21"/>
      <c r="CQ86" s="21"/>
      <c r="CR86" s="21"/>
      <c r="CS86" s="21"/>
      <c r="CT86" s="21"/>
      <c r="CU86" s="21"/>
      <c r="CV86" s="21"/>
      <c r="CW86" s="21"/>
      <c r="CX86" s="21"/>
      <c r="CY86" s="21"/>
      <c r="CZ86" s="21"/>
      <c r="DA86" s="21"/>
    </row>
    <row r="87" spans="1:105" s="25" customFormat="1" ht="15.75" customHeight="1" x14ac:dyDescent="0.55000000000000004">
      <c r="A87" s="211"/>
      <c r="B87" s="226"/>
      <c r="C87" s="119"/>
      <c r="D87" s="191"/>
      <c r="E87" s="21" t="s">
        <v>363</v>
      </c>
      <c r="F87" s="21"/>
      <c r="G87" s="21"/>
      <c r="H87" s="21"/>
      <c r="I87" s="214"/>
      <c r="J87" s="223"/>
      <c r="K87" s="21" t="str">
        <f>C37</f>
        <v>サービス対価（施設整備費ー運営権対価）の上限額</v>
      </c>
      <c r="L87" s="21"/>
      <c r="M87" s="21"/>
      <c r="N87" s="191" t="s">
        <v>21</v>
      </c>
      <c r="O87" s="21"/>
      <c r="P87" s="255">
        <f>F37</f>
        <v>2300</v>
      </c>
      <c r="R87" s="21"/>
      <c r="S87" s="21"/>
      <c r="T87" s="191"/>
      <c r="U87" s="21"/>
      <c r="V87" s="289"/>
      <c r="W87" s="21"/>
      <c r="X87" s="21"/>
      <c r="Y87" s="23"/>
      <c r="Z87" s="23"/>
      <c r="AA87" s="24"/>
      <c r="AB87" s="24"/>
      <c r="AC87" s="24"/>
      <c r="AD87" s="24"/>
      <c r="AE87" s="24"/>
      <c r="AF87" s="24"/>
      <c r="AG87" s="24"/>
      <c r="AH87" s="24"/>
      <c r="AI87" s="24"/>
      <c r="AJ87" s="24"/>
      <c r="AK87" s="24"/>
      <c r="AL87" s="24"/>
      <c r="AO87" s="26"/>
      <c r="AQ87" s="24"/>
      <c r="AR87" s="24"/>
      <c r="AS87" s="24"/>
      <c r="AT87" s="24"/>
      <c r="AU87" s="24"/>
      <c r="AV87" s="24"/>
      <c r="AW87" s="24"/>
      <c r="AX87" s="24"/>
      <c r="AY87" s="24"/>
      <c r="AZ87" s="24"/>
      <c r="BA87" s="24"/>
      <c r="BB87" s="24"/>
      <c r="BC87" s="24"/>
      <c r="BD87" s="24"/>
      <c r="BE87" s="24"/>
      <c r="BF87" s="22"/>
      <c r="BG87" s="26"/>
      <c r="BH87" s="22"/>
      <c r="BI87" s="24"/>
      <c r="BJ87" s="24"/>
      <c r="BK87" s="24"/>
      <c r="BL87" s="24"/>
      <c r="BM87" s="24"/>
      <c r="BN87" s="24"/>
      <c r="BO87" s="24"/>
      <c r="BP87" s="24"/>
      <c r="BQ87" s="24"/>
      <c r="BR87" s="24"/>
      <c r="BS87" s="24"/>
      <c r="BT87" s="24"/>
      <c r="BU87" s="24"/>
      <c r="BV87" s="24"/>
      <c r="BW87" s="24"/>
      <c r="BX87" s="24"/>
      <c r="BY87" s="24"/>
      <c r="BZ87" s="24"/>
      <c r="CA87" s="24"/>
      <c r="CB87" s="22"/>
      <c r="CC87" s="24"/>
      <c r="CD87" s="24"/>
      <c r="CE87" s="24"/>
      <c r="CF87" s="24"/>
      <c r="CG87" s="24"/>
      <c r="CH87" s="22"/>
      <c r="CI87" s="24"/>
      <c r="CJ87" s="24"/>
      <c r="CK87" s="22"/>
      <c r="CL87" s="22"/>
      <c r="CM87" s="22"/>
      <c r="CN87" s="22"/>
      <c r="CO87" s="22"/>
      <c r="CP87" s="21"/>
      <c r="CQ87" s="21"/>
      <c r="CR87" s="21"/>
      <c r="CS87" s="21"/>
      <c r="CT87" s="21"/>
      <c r="CU87" s="21"/>
      <c r="CV87" s="21"/>
      <c r="CW87" s="21"/>
      <c r="CX87" s="21"/>
      <c r="CY87" s="21"/>
      <c r="CZ87" s="21"/>
      <c r="DA87" s="21"/>
    </row>
    <row r="88" spans="1:105" s="25" customFormat="1" ht="15.75" customHeight="1" x14ac:dyDescent="0.55000000000000004">
      <c r="A88" s="211"/>
      <c r="B88" s="226"/>
      <c r="C88" s="119"/>
      <c r="D88" s="191"/>
      <c r="E88" s="21"/>
      <c r="F88" s="21"/>
      <c r="G88" s="21"/>
      <c r="H88" s="21"/>
      <c r="I88" s="214"/>
      <c r="J88" s="223"/>
      <c r="K88" s="241" t="s">
        <v>34</v>
      </c>
      <c r="L88" s="241"/>
      <c r="M88" s="241"/>
      <c r="N88" s="242" t="s">
        <v>21</v>
      </c>
      <c r="O88" s="241"/>
      <c r="P88" s="256">
        <f>SUM(P86, -P87)</f>
        <v>550</v>
      </c>
      <c r="Q88" s="141" t="str">
        <f>E86</f>
        <v>サービス対価（施設整備費＋割賦金利）の上限額から自動算出</v>
      </c>
      <c r="R88" s="21"/>
      <c r="S88" s="21"/>
      <c r="T88" s="191"/>
      <c r="U88" s="21"/>
      <c r="V88" s="289"/>
      <c r="W88" s="21"/>
      <c r="X88" s="21"/>
      <c r="Y88" s="23"/>
      <c r="Z88" s="23"/>
      <c r="AA88" s="24"/>
      <c r="AB88" s="24"/>
      <c r="AC88" s="24"/>
      <c r="AD88" s="24"/>
      <c r="AE88" s="24"/>
      <c r="AF88" s="24"/>
      <c r="AG88" s="24"/>
      <c r="AH88" s="24"/>
      <c r="AI88" s="24"/>
      <c r="AJ88" s="24"/>
      <c r="AK88" s="24"/>
      <c r="AL88" s="24"/>
      <c r="AO88" s="26"/>
      <c r="AQ88" s="24"/>
      <c r="AR88" s="24"/>
      <c r="AS88" s="24"/>
      <c r="AT88" s="24"/>
      <c r="AU88" s="24"/>
      <c r="AV88" s="24"/>
      <c r="AW88" s="24"/>
      <c r="AX88" s="24"/>
      <c r="AY88" s="24"/>
      <c r="AZ88" s="24"/>
      <c r="BA88" s="24"/>
      <c r="BB88" s="24"/>
      <c r="BC88" s="24"/>
      <c r="BD88" s="24"/>
      <c r="BE88" s="24"/>
      <c r="BF88" s="22"/>
      <c r="BG88" s="26"/>
      <c r="BH88" s="22"/>
      <c r="BI88" s="24"/>
      <c r="BJ88" s="24"/>
      <c r="BK88" s="24"/>
      <c r="BL88" s="24"/>
      <c r="BM88" s="24"/>
      <c r="BN88" s="24"/>
      <c r="BO88" s="24"/>
      <c r="BP88" s="24"/>
      <c r="BQ88" s="24"/>
      <c r="BR88" s="24"/>
      <c r="BS88" s="24"/>
      <c r="BT88" s="24"/>
      <c r="BU88" s="24"/>
      <c r="BV88" s="24"/>
      <c r="BW88" s="24"/>
      <c r="BX88" s="24"/>
      <c r="BY88" s="24"/>
      <c r="BZ88" s="24"/>
      <c r="CA88" s="24"/>
      <c r="CB88" s="22"/>
      <c r="CC88" s="24"/>
      <c r="CD88" s="24"/>
      <c r="CE88" s="24"/>
      <c r="CF88" s="24"/>
      <c r="CG88" s="24"/>
      <c r="CH88" s="22"/>
      <c r="CI88" s="24"/>
      <c r="CJ88" s="24"/>
      <c r="CK88" s="22"/>
      <c r="CL88" s="22"/>
      <c r="CM88" s="22"/>
      <c r="CN88" s="22"/>
      <c r="CO88" s="22"/>
      <c r="CP88" s="21"/>
      <c r="CQ88" s="21"/>
      <c r="CR88" s="21"/>
      <c r="CS88" s="21"/>
      <c r="CT88" s="21"/>
      <c r="CU88" s="21"/>
      <c r="CV88" s="21"/>
      <c r="CW88" s="21"/>
      <c r="CX88" s="21"/>
      <c r="CY88" s="21"/>
      <c r="CZ88" s="21"/>
      <c r="DA88" s="21"/>
    </row>
    <row r="89" spans="1:105" s="25" customFormat="1" ht="15.75" customHeight="1" x14ac:dyDescent="0.55000000000000004">
      <c r="A89" s="211"/>
      <c r="B89" s="226"/>
      <c r="C89" s="119"/>
      <c r="D89" s="191"/>
      <c r="E89" s="21"/>
      <c r="F89" s="21"/>
      <c r="G89" s="21"/>
      <c r="H89" s="21"/>
      <c r="I89" s="214"/>
      <c r="J89" s="223"/>
      <c r="R89" s="21"/>
      <c r="S89" s="21"/>
      <c r="T89" s="191"/>
      <c r="U89" s="21"/>
      <c r="V89" s="289"/>
      <c r="W89" s="21"/>
      <c r="X89" s="21"/>
      <c r="Y89" s="23"/>
      <c r="Z89" s="23"/>
      <c r="AA89" s="24"/>
      <c r="AB89" s="24"/>
      <c r="AC89" s="24"/>
      <c r="AD89" s="24"/>
      <c r="AE89" s="24"/>
      <c r="AF89" s="24"/>
      <c r="AG89" s="24"/>
      <c r="AH89" s="24"/>
      <c r="AI89" s="24"/>
      <c r="AJ89" s="24"/>
      <c r="AK89" s="24"/>
      <c r="AL89" s="24"/>
      <c r="AO89" s="26"/>
      <c r="AQ89" s="24"/>
      <c r="AR89" s="24"/>
      <c r="AS89" s="24"/>
      <c r="AT89" s="24"/>
      <c r="AU89" s="24"/>
      <c r="AV89" s="24"/>
      <c r="AW89" s="24"/>
      <c r="AX89" s="24"/>
      <c r="AY89" s="24"/>
      <c r="AZ89" s="24"/>
      <c r="BA89" s="24"/>
      <c r="BB89" s="24"/>
      <c r="BC89" s="24"/>
      <c r="BD89" s="24"/>
      <c r="BE89" s="24"/>
      <c r="BF89" s="22"/>
      <c r="BG89" s="26"/>
      <c r="BH89" s="22"/>
      <c r="BI89" s="24"/>
      <c r="BJ89" s="24"/>
      <c r="BK89" s="24"/>
      <c r="BL89" s="24"/>
      <c r="BM89" s="24"/>
      <c r="BN89" s="24"/>
      <c r="BO89" s="24"/>
      <c r="BP89" s="24"/>
      <c r="BQ89" s="24"/>
      <c r="BR89" s="24"/>
      <c r="BS89" s="24"/>
      <c r="BT89" s="24"/>
      <c r="BU89" s="24"/>
      <c r="BV89" s="24"/>
      <c r="BW89" s="24"/>
      <c r="BX89" s="24"/>
      <c r="BY89" s="24"/>
      <c r="BZ89" s="24"/>
      <c r="CA89" s="24"/>
      <c r="CB89" s="22"/>
      <c r="CC89" s="24"/>
      <c r="CD89" s="24"/>
      <c r="CE89" s="24"/>
      <c r="CF89" s="24"/>
      <c r="CG89" s="24"/>
      <c r="CH89" s="22"/>
      <c r="CI89" s="24"/>
      <c r="CJ89" s="24"/>
      <c r="CK89" s="22"/>
      <c r="CL89" s="22"/>
      <c r="CM89" s="22"/>
      <c r="CN89" s="22"/>
      <c r="CO89" s="22"/>
      <c r="CP89" s="21"/>
      <c r="CQ89" s="21"/>
      <c r="CR89" s="21"/>
      <c r="CS89" s="21"/>
      <c r="CT89" s="21"/>
      <c r="CU89" s="21"/>
      <c r="CV89" s="21"/>
      <c r="CW89" s="21"/>
      <c r="CX89" s="21"/>
      <c r="CY89" s="21"/>
      <c r="CZ89" s="21"/>
      <c r="DA89" s="21"/>
    </row>
    <row r="90" spans="1:105" s="25" customFormat="1" ht="15.75" customHeight="1" x14ac:dyDescent="0.55000000000000004">
      <c r="A90" s="207"/>
      <c r="B90" s="223"/>
      <c r="C90" s="21"/>
      <c r="D90" s="191"/>
      <c r="E90" s="21"/>
      <c r="F90" s="21"/>
      <c r="G90" s="21"/>
      <c r="H90" s="21"/>
      <c r="I90" s="214"/>
      <c r="J90" s="223"/>
      <c r="K90" s="21"/>
      <c r="L90" s="21"/>
      <c r="M90" s="21"/>
      <c r="N90" s="191"/>
      <c r="O90" s="21"/>
      <c r="P90" s="21"/>
      <c r="Q90" s="21"/>
      <c r="R90" s="21"/>
      <c r="S90" s="21"/>
      <c r="T90" s="191"/>
      <c r="U90" s="21"/>
      <c r="V90" s="289"/>
      <c r="W90" s="21"/>
      <c r="X90" s="21"/>
      <c r="Y90" s="23"/>
      <c r="Z90" s="23"/>
      <c r="AA90" s="24"/>
      <c r="AB90" s="24"/>
      <c r="AC90" s="24"/>
      <c r="AD90" s="24"/>
      <c r="AE90" s="24"/>
      <c r="AF90" s="24"/>
      <c r="AG90" s="24"/>
      <c r="AH90" s="24"/>
      <c r="AI90" s="24"/>
      <c r="AJ90" s="24"/>
      <c r="AK90" s="24"/>
      <c r="AL90" s="24"/>
      <c r="AO90" s="26"/>
      <c r="AQ90" s="24"/>
      <c r="AR90" s="24"/>
      <c r="AS90" s="24"/>
      <c r="AT90" s="24"/>
      <c r="AU90" s="24"/>
      <c r="AV90" s="24"/>
      <c r="AW90" s="24"/>
      <c r="AX90" s="24"/>
      <c r="AY90" s="24"/>
      <c r="AZ90" s="24"/>
      <c r="BA90" s="24"/>
      <c r="BB90" s="24"/>
      <c r="BC90" s="24"/>
      <c r="BD90" s="24"/>
      <c r="BE90" s="24"/>
      <c r="BF90" s="22"/>
      <c r="BG90" s="26"/>
      <c r="BH90" s="22"/>
      <c r="BI90" s="24"/>
      <c r="BJ90" s="24"/>
      <c r="BK90" s="24"/>
      <c r="BL90" s="24"/>
      <c r="BM90" s="24"/>
      <c r="BN90" s="24"/>
      <c r="BO90" s="24"/>
      <c r="BP90" s="24"/>
      <c r="BQ90" s="24"/>
      <c r="BR90" s="24"/>
      <c r="BS90" s="24"/>
      <c r="BT90" s="24"/>
      <c r="BU90" s="24"/>
      <c r="BV90" s="24"/>
      <c r="BW90" s="24"/>
      <c r="BX90" s="24"/>
      <c r="BY90" s="24"/>
      <c r="BZ90" s="24"/>
      <c r="CA90" s="24"/>
      <c r="CB90" s="22"/>
      <c r="CC90" s="24"/>
      <c r="CD90" s="24"/>
      <c r="CE90" s="24"/>
      <c r="CF90" s="24"/>
      <c r="CG90" s="24"/>
      <c r="CH90" s="22"/>
      <c r="CI90" s="24"/>
      <c r="CJ90" s="24"/>
      <c r="CK90" s="22"/>
      <c r="CL90" s="22"/>
      <c r="CM90" s="22"/>
      <c r="CN90" s="22"/>
      <c r="CO90" s="22"/>
      <c r="CP90" s="21"/>
      <c r="CQ90" s="21"/>
      <c r="CR90" s="21"/>
      <c r="CS90" s="21"/>
      <c r="CT90" s="21"/>
      <c r="CU90" s="21"/>
      <c r="CV90" s="21"/>
      <c r="CW90" s="21"/>
      <c r="CX90" s="21"/>
      <c r="CY90" s="21"/>
      <c r="CZ90" s="21"/>
      <c r="DA90" s="21"/>
    </row>
    <row r="91" spans="1:105" s="25" customFormat="1" ht="15.75" customHeight="1" thickBot="1" x14ac:dyDescent="0.6">
      <c r="A91" s="210" t="s">
        <v>35</v>
      </c>
      <c r="B91" s="225"/>
      <c r="C91" s="202"/>
      <c r="D91" s="203"/>
      <c r="E91" s="202"/>
      <c r="F91" s="202"/>
      <c r="G91" s="202"/>
      <c r="H91" s="202"/>
      <c r="I91" s="217" t="s">
        <v>35</v>
      </c>
      <c r="J91" s="225"/>
      <c r="K91" s="202"/>
      <c r="L91" s="202"/>
      <c r="M91" s="202"/>
      <c r="N91" s="203"/>
      <c r="O91" s="202"/>
      <c r="P91" s="202"/>
      <c r="Q91" s="202"/>
      <c r="R91" s="202"/>
      <c r="S91" s="202"/>
      <c r="T91" s="203"/>
      <c r="U91" s="202"/>
      <c r="V91" s="295"/>
      <c r="W91" s="21"/>
      <c r="X91" s="21"/>
      <c r="Y91" s="23"/>
      <c r="Z91" s="23"/>
      <c r="AA91" s="24"/>
      <c r="AB91" s="24"/>
      <c r="AC91" s="24"/>
      <c r="AD91" s="24"/>
      <c r="AE91" s="24"/>
      <c r="AF91" s="24"/>
      <c r="AG91" s="24"/>
      <c r="AH91" s="24"/>
      <c r="AI91" s="24"/>
      <c r="AJ91" s="24"/>
      <c r="AK91" s="24"/>
      <c r="AL91" s="24"/>
      <c r="AO91" s="26"/>
      <c r="AQ91" s="24"/>
      <c r="AR91" s="24"/>
      <c r="AS91" s="24"/>
      <c r="AT91" s="24"/>
      <c r="AU91" s="24"/>
      <c r="AV91" s="24"/>
      <c r="AW91" s="24"/>
      <c r="AX91" s="24"/>
      <c r="AY91" s="24"/>
      <c r="AZ91" s="24"/>
      <c r="BA91" s="24"/>
      <c r="BB91" s="24"/>
      <c r="BC91" s="24"/>
      <c r="BD91" s="24"/>
      <c r="BE91" s="24"/>
      <c r="BF91" s="22"/>
      <c r="BG91" s="26"/>
      <c r="BH91" s="22"/>
      <c r="BI91" s="24"/>
      <c r="BJ91" s="24"/>
      <c r="BK91" s="24"/>
      <c r="BL91" s="24"/>
      <c r="BM91" s="24"/>
      <c r="BN91" s="24"/>
      <c r="BO91" s="24"/>
      <c r="BP91" s="24"/>
      <c r="BQ91" s="24"/>
      <c r="BR91" s="24"/>
      <c r="BS91" s="24"/>
      <c r="BT91" s="24"/>
      <c r="BU91" s="24"/>
      <c r="BV91" s="24"/>
      <c r="BW91" s="24"/>
      <c r="BX91" s="24"/>
      <c r="BY91" s="24"/>
      <c r="BZ91" s="24"/>
      <c r="CA91" s="24"/>
      <c r="CB91" s="22"/>
      <c r="CC91" s="24"/>
      <c r="CD91" s="24"/>
      <c r="CE91" s="24"/>
      <c r="CF91" s="24"/>
      <c r="CG91" s="24"/>
      <c r="CH91" s="22"/>
      <c r="CI91" s="24"/>
      <c r="CJ91" s="24"/>
      <c r="CK91" s="22"/>
      <c r="CL91" s="22"/>
      <c r="CM91" s="22"/>
      <c r="CN91" s="22"/>
      <c r="CO91" s="22"/>
      <c r="CP91" s="21"/>
      <c r="CQ91" s="21"/>
      <c r="CR91" s="21"/>
      <c r="CS91" s="21"/>
      <c r="CT91" s="21"/>
      <c r="CU91" s="21"/>
      <c r="CV91" s="21"/>
      <c r="CW91" s="21"/>
      <c r="CX91" s="21"/>
      <c r="CY91" s="21"/>
      <c r="CZ91" s="21"/>
      <c r="DA91" s="21"/>
    </row>
    <row r="92" spans="1:105" s="25" customFormat="1" ht="15.75" customHeight="1" x14ac:dyDescent="0.55000000000000004">
      <c r="A92" s="207"/>
      <c r="B92" s="223"/>
      <c r="C92" s="21"/>
      <c r="D92" s="191"/>
      <c r="E92" s="21"/>
      <c r="F92" s="21"/>
      <c r="G92" s="21"/>
      <c r="H92" s="21"/>
      <c r="I92" s="214"/>
      <c r="J92" s="223"/>
      <c r="K92" s="21"/>
      <c r="L92" s="21"/>
      <c r="M92" s="21"/>
      <c r="N92" s="191"/>
      <c r="O92" s="21"/>
      <c r="P92" s="21"/>
      <c r="Q92" s="21"/>
      <c r="R92" s="21"/>
      <c r="S92" s="21"/>
      <c r="T92" s="191"/>
      <c r="U92" s="21"/>
      <c r="V92" s="289"/>
      <c r="W92" s="21"/>
      <c r="X92" s="21"/>
      <c r="Y92" s="23"/>
      <c r="Z92" s="23"/>
      <c r="AA92" s="24"/>
      <c r="AB92" s="24"/>
      <c r="AC92" s="24"/>
      <c r="AD92" s="24"/>
      <c r="AE92" s="24"/>
      <c r="AF92" s="24"/>
      <c r="AG92" s="24"/>
      <c r="AH92" s="24"/>
      <c r="AI92" s="24"/>
      <c r="AJ92" s="24"/>
      <c r="AK92" s="24"/>
      <c r="AL92" s="24"/>
      <c r="AO92" s="26"/>
      <c r="AQ92" s="24"/>
      <c r="AR92" s="24"/>
      <c r="AS92" s="24"/>
      <c r="AT92" s="24"/>
      <c r="AU92" s="24"/>
      <c r="AV92" s="24"/>
      <c r="AW92" s="24"/>
      <c r="AX92" s="24"/>
      <c r="AY92" s="24"/>
      <c r="AZ92" s="24"/>
      <c r="BA92" s="24"/>
      <c r="BB92" s="24"/>
      <c r="BC92" s="24"/>
      <c r="BD92" s="24"/>
      <c r="BE92" s="24"/>
      <c r="BF92" s="22"/>
      <c r="BG92" s="26"/>
      <c r="BH92" s="22"/>
      <c r="BI92" s="24"/>
      <c r="BJ92" s="24"/>
      <c r="BK92" s="24"/>
      <c r="BL92" s="24"/>
      <c r="BM92" s="24"/>
      <c r="BN92" s="24"/>
      <c r="BO92" s="24"/>
      <c r="BP92" s="24"/>
      <c r="BQ92" s="24"/>
      <c r="BR92" s="24"/>
      <c r="BS92" s="24"/>
      <c r="BT92" s="24"/>
      <c r="BU92" s="24"/>
      <c r="BV92" s="24"/>
      <c r="BW92" s="24"/>
      <c r="BX92" s="24"/>
      <c r="BY92" s="24"/>
      <c r="BZ92" s="24"/>
      <c r="CA92" s="24"/>
      <c r="CB92" s="22"/>
      <c r="CC92" s="24"/>
      <c r="CD92" s="24"/>
      <c r="CE92" s="24"/>
      <c r="CF92" s="24"/>
      <c r="CG92" s="24"/>
      <c r="CH92" s="22"/>
      <c r="CI92" s="24"/>
      <c r="CJ92" s="24"/>
      <c r="CK92" s="22"/>
      <c r="CL92" s="22"/>
      <c r="CM92" s="22"/>
      <c r="CN92" s="22"/>
      <c r="CO92" s="22"/>
      <c r="CP92" s="21"/>
      <c r="CQ92" s="21"/>
      <c r="CR92" s="21"/>
      <c r="CS92" s="21"/>
      <c r="CT92" s="21"/>
      <c r="CU92" s="21"/>
      <c r="CV92" s="21"/>
      <c r="CW92" s="21"/>
      <c r="CX92" s="21"/>
      <c r="CY92" s="21"/>
      <c r="CZ92" s="21"/>
      <c r="DA92" s="21"/>
    </row>
    <row r="93" spans="1:105" s="25" customFormat="1" ht="15.75" customHeight="1" x14ac:dyDescent="0.55000000000000004">
      <c r="A93" s="207"/>
      <c r="B93" s="223" t="s">
        <v>199</v>
      </c>
      <c r="E93" s="25" t="s">
        <v>18</v>
      </c>
      <c r="F93" s="25" t="s">
        <v>200</v>
      </c>
      <c r="G93" s="21"/>
      <c r="H93" s="21"/>
      <c r="I93" s="214"/>
      <c r="J93" s="223" t="s">
        <v>199</v>
      </c>
      <c r="K93" s="21"/>
      <c r="L93" s="21"/>
      <c r="M93" s="21"/>
      <c r="N93" s="191"/>
      <c r="O93" s="21" t="s">
        <v>55</v>
      </c>
      <c r="P93" s="21" t="s">
        <v>98</v>
      </c>
      <c r="Q93" s="21"/>
      <c r="R93" s="21"/>
      <c r="S93" s="21"/>
      <c r="T93" s="191"/>
      <c r="U93" s="21"/>
      <c r="V93" s="295"/>
      <c r="W93" s="21"/>
      <c r="X93" s="21"/>
      <c r="Y93" s="23"/>
      <c r="Z93" s="23"/>
      <c r="AA93" s="24"/>
      <c r="AB93" s="24"/>
      <c r="AC93" s="24"/>
      <c r="AD93" s="24"/>
      <c r="AE93" s="24"/>
      <c r="AF93" s="24"/>
      <c r="AG93" s="24"/>
      <c r="AH93" s="24"/>
      <c r="AI93" s="24"/>
      <c r="AJ93" s="24"/>
      <c r="AK93" s="24"/>
      <c r="AL93" s="24"/>
      <c r="AO93" s="26"/>
      <c r="AQ93" s="24"/>
      <c r="AR93" s="24"/>
      <c r="AS93" s="24"/>
      <c r="AT93" s="24"/>
      <c r="AU93" s="24"/>
      <c r="AV93" s="24"/>
      <c r="AW93" s="24"/>
      <c r="AX93" s="24"/>
      <c r="AY93" s="24"/>
      <c r="AZ93" s="24"/>
      <c r="BA93" s="24"/>
      <c r="BB93" s="24"/>
      <c r="BC93" s="24"/>
      <c r="BD93" s="24"/>
      <c r="BE93" s="24"/>
      <c r="BF93" s="22"/>
      <c r="BG93" s="26"/>
      <c r="BH93" s="22"/>
      <c r="BI93" s="24"/>
      <c r="BJ93" s="24"/>
      <c r="BK93" s="24"/>
      <c r="BL93" s="24"/>
      <c r="BM93" s="24"/>
      <c r="BN93" s="24"/>
      <c r="BO93" s="24"/>
      <c r="BP93" s="24"/>
      <c r="BQ93" s="24"/>
      <c r="BR93" s="24"/>
      <c r="BS93" s="24"/>
      <c r="BT93" s="24"/>
      <c r="BU93" s="24"/>
      <c r="BV93" s="24"/>
      <c r="BW93" s="24"/>
      <c r="BX93" s="24"/>
      <c r="BY93" s="24"/>
      <c r="BZ93" s="24"/>
      <c r="CA93" s="24"/>
      <c r="CB93" s="22"/>
      <c r="CC93" s="24"/>
      <c r="CD93" s="24"/>
      <c r="CE93" s="24"/>
      <c r="CF93" s="24"/>
      <c r="CG93" s="24"/>
      <c r="CH93" s="22"/>
      <c r="CI93" s="24"/>
      <c r="CJ93" s="24"/>
      <c r="CK93" s="22"/>
      <c r="CL93" s="22"/>
      <c r="CM93" s="22"/>
      <c r="CN93" s="22"/>
      <c r="CO93" s="22"/>
      <c r="CP93" s="21"/>
      <c r="CQ93" s="21"/>
      <c r="CR93" s="21"/>
      <c r="CS93" s="21"/>
      <c r="CT93" s="21"/>
      <c r="CU93" s="21"/>
      <c r="CV93" s="21"/>
      <c r="CW93" s="21"/>
      <c r="CX93" s="21"/>
      <c r="CY93" s="21"/>
      <c r="CZ93" s="21"/>
      <c r="DA93" s="21"/>
    </row>
    <row r="94" spans="1:105" s="25" customFormat="1" ht="15.75" customHeight="1" x14ac:dyDescent="0.45">
      <c r="A94" s="207"/>
      <c r="B94" s="223"/>
      <c r="C94" s="21" t="s">
        <v>296</v>
      </c>
      <c r="D94" s="191" t="s">
        <v>21</v>
      </c>
      <c r="E94" s="143">
        <f>O96</f>
        <v>1282.5</v>
      </c>
      <c r="F94" s="143">
        <f>P96</f>
        <v>1035</v>
      </c>
      <c r="G94" s="21"/>
      <c r="H94" s="21"/>
      <c r="I94" s="214"/>
      <c r="J94" s="223"/>
      <c r="K94" s="21" t="s">
        <v>364</v>
      </c>
      <c r="L94" s="21"/>
      <c r="M94" s="21"/>
      <c r="N94" s="191" t="s">
        <v>21</v>
      </c>
      <c r="O94" s="178">
        <f>O32</f>
        <v>2850</v>
      </c>
      <c r="P94" s="178">
        <f>P33</f>
        <v>2300</v>
      </c>
      <c r="Q94" s="21"/>
      <c r="R94" s="21"/>
      <c r="S94" s="21"/>
      <c r="T94" s="191"/>
      <c r="U94" s="21"/>
      <c r="V94" s="295"/>
      <c r="W94" s="21"/>
      <c r="X94" s="21"/>
      <c r="Y94" s="23"/>
      <c r="Z94" s="23"/>
      <c r="AA94" s="24"/>
      <c r="AB94" s="24"/>
      <c r="AC94" s="24"/>
      <c r="AD94" s="24"/>
      <c r="AE94" s="24"/>
      <c r="AF94" s="24"/>
      <c r="AG94" s="24"/>
      <c r="AH94" s="24"/>
      <c r="AI94" s="24"/>
      <c r="AJ94" s="24"/>
      <c r="AK94" s="24"/>
      <c r="AL94" s="24"/>
      <c r="AO94" s="26"/>
      <c r="AQ94" s="24"/>
      <c r="AR94" s="24"/>
      <c r="AS94" s="24"/>
      <c r="AT94" s="24"/>
      <c r="AU94" s="24"/>
      <c r="AV94" s="24"/>
      <c r="AW94" s="24"/>
      <c r="AX94" s="24"/>
      <c r="AY94" s="24"/>
      <c r="AZ94" s="24"/>
      <c r="BA94" s="24"/>
      <c r="BB94" s="24"/>
      <c r="BC94" s="24"/>
      <c r="BD94" s="24"/>
      <c r="BE94" s="24"/>
      <c r="BF94" s="22"/>
      <c r="BG94" s="26"/>
      <c r="BH94" s="22"/>
      <c r="BI94" s="24"/>
      <c r="BJ94" s="24"/>
      <c r="BK94" s="24"/>
      <c r="BL94" s="24"/>
      <c r="BM94" s="24"/>
      <c r="BN94" s="24"/>
      <c r="BO94" s="24"/>
      <c r="BP94" s="24"/>
      <c r="BQ94" s="24"/>
      <c r="BR94" s="24"/>
      <c r="BS94" s="24"/>
      <c r="BT94" s="24"/>
      <c r="BU94" s="24"/>
      <c r="BV94" s="24"/>
      <c r="BW94" s="24"/>
      <c r="BX94" s="24"/>
      <c r="BY94" s="24"/>
      <c r="BZ94" s="24"/>
      <c r="CA94" s="24"/>
      <c r="CB94" s="22"/>
      <c r="CC94" s="24"/>
      <c r="CD94" s="24"/>
      <c r="CE94" s="24"/>
      <c r="CF94" s="24"/>
      <c r="CG94" s="24"/>
      <c r="CH94" s="22"/>
      <c r="CI94" s="24"/>
      <c r="CJ94" s="24"/>
      <c r="CK94" s="22"/>
      <c r="CL94" s="22"/>
      <c r="CM94" s="22"/>
      <c r="CN94" s="22"/>
      <c r="CO94" s="22"/>
      <c r="CP94" s="21"/>
      <c r="CQ94" s="21"/>
      <c r="CR94" s="21"/>
      <c r="CS94" s="21"/>
      <c r="CT94" s="21"/>
      <c r="CU94" s="21"/>
      <c r="CV94" s="21"/>
      <c r="CW94" s="21"/>
      <c r="CX94" s="21"/>
      <c r="CY94" s="21"/>
      <c r="CZ94" s="21"/>
      <c r="DA94" s="21"/>
    </row>
    <row r="95" spans="1:105" s="25" customFormat="1" ht="15.75" customHeight="1" x14ac:dyDescent="0.45">
      <c r="A95" s="207"/>
      <c r="B95" s="223"/>
      <c r="C95" s="21" t="s">
        <v>297</v>
      </c>
      <c r="D95" s="191" t="s">
        <v>25</v>
      </c>
      <c r="E95" s="163">
        <v>0.4</v>
      </c>
      <c r="F95" s="163">
        <v>0.4</v>
      </c>
      <c r="G95" s="297">
        <f>IF(E95&gt;=E35, 1, 0)</f>
        <v>0</v>
      </c>
      <c r="H95" s="298">
        <f>IF(F95&gt;=F35, 1, 0)</f>
        <v>0</v>
      </c>
      <c r="I95" s="214"/>
      <c r="J95" s="223"/>
      <c r="K95" s="21" t="s">
        <v>110</v>
      </c>
      <c r="L95" s="21"/>
      <c r="M95" s="21"/>
      <c r="N95" s="191" t="s">
        <v>21</v>
      </c>
      <c r="O95" s="168">
        <f>O94*$E$95</f>
        <v>1140</v>
      </c>
      <c r="P95" s="168">
        <f>P94*$F$95</f>
        <v>920</v>
      </c>
      <c r="Q95" s="21"/>
      <c r="R95" s="21"/>
      <c r="S95" s="21"/>
      <c r="T95" s="191"/>
      <c r="U95" s="21"/>
      <c r="V95" s="295"/>
      <c r="W95" s="21"/>
      <c r="X95" s="21"/>
      <c r="Y95" s="23"/>
      <c r="Z95" s="23"/>
      <c r="AA95" s="24"/>
      <c r="AB95" s="24"/>
      <c r="AC95" s="24"/>
      <c r="AD95" s="24"/>
      <c r="AE95" s="24"/>
      <c r="AF95" s="24"/>
      <c r="AG95" s="24"/>
      <c r="AH95" s="24"/>
      <c r="AI95" s="24"/>
      <c r="AJ95" s="24"/>
      <c r="AK95" s="24"/>
      <c r="AL95" s="24"/>
      <c r="AO95" s="26"/>
      <c r="AQ95" s="24"/>
      <c r="AR95" s="24"/>
      <c r="AS95" s="24"/>
      <c r="AT95" s="24"/>
      <c r="AU95" s="24"/>
      <c r="AV95" s="24"/>
      <c r="AW95" s="24"/>
      <c r="AX95" s="24"/>
      <c r="AY95" s="24"/>
      <c r="AZ95" s="24"/>
      <c r="BA95" s="24"/>
      <c r="BB95" s="24"/>
      <c r="BC95" s="24"/>
      <c r="BD95" s="24"/>
      <c r="BE95" s="24"/>
      <c r="BF95" s="22"/>
      <c r="BG95" s="26"/>
      <c r="BH95" s="22"/>
      <c r="BI95" s="24"/>
      <c r="BJ95" s="24"/>
      <c r="BK95" s="24"/>
      <c r="BL95" s="24"/>
      <c r="BM95" s="24"/>
      <c r="BN95" s="24"/>
      <c r="BO95" s="24"/>
      <c r="BP95" s="24"/>
      <c r="BQ95" s="24"/>
      <c r="BR95" s="24"/>
      <c r="BS95" s="24"/>
      <c r="BT95" s="24"/>
      <c r="BU95" s="24"/>
      <c r="BV95" s="24"/>
      <c r="BW95" s="24"/>
      <c r="BX95" s="24"/>
      <c r="BY95" s="24"/>
      <c r="BZ95" s="24"/>
      <c r="CA95" s="24"/>
      <c r="CB95" s="22"/>
      <c r="CC95" s="24"/>
      <c r="CD95" s="24"/>
      <c r="CE95" s="24"/>
      <c r="CF95" s="24"/>
      <c r="CG95" s="24"/>
      <c r="CH95" s="22"/>
      <c r="CI95" s="24"/>
      <c r="CJ95" s="24"/>
      <c r="CK95" s="22"/>
      <c r="CL95" s="22"/>
      <c r="CM95" s="22"/>
      <c r="CN95" s="22"/>
      <c r="CO95" s="22"/>
      <c r="CP95" s="21"/>
      <c r="CQ95" s="21"/>
      <c r="CR95" s="21"/>
      <c r="CS95" s="21"/>
      <c r="CT95" s="21"/>
      <c r="CU95" s="21"/>
      <c r="CV95" s="21"/>
      <c r="CW95" s="21"/>
      <c r="CX95" s="21"/>
      <c r="CY95" s="21"/>
      <c r="CZ95" s="21"/>
      <c r="DA95" s="21"/>
    </row>
    <row r="96" spans="1:105" s="25" customFormat="1" ht="15.75" customHeight="1" x14ac:dyDescent="0.45">
      <c r="A96" s="207"/>
      <c r="B96" s="223"/>
      <c r="C96" s="21" t="s">
        <v>298</v>
      </c>
      <c r="D96" s="191" t="s">
        <v>25</v>
      </c>
      <c r="E96" s="157">
        <v>0</v>
      </c>
      <c r="F96" s="157">
        <v>0</v>
      </c>
      <c r="G96" s="21"/>
      <c r="H96" s="21"/>
      <c r="I96" s="214"/>
      <c r="J96" s="223"/>
      <c r="K96" s="21" t="s">
        <v>205</v>
      </c>
      <c r="L96" s="21"/>
      <c r="M96" s="21"/>
      <c r="N96" s="191" t="s">
        <v>21</v>
      </c>
      <c r="O96" s="168">
        <f>(O94-O95)*$E$97</f>
        <v>1282.5</v>
      </c>
      <c r="P96" s="168">
        <f>(P94-P95)*$F$97</f>
        <v>1035</v>
      </c>
      <c r="Q96" s="21"/>
      <c r="R96" s="21"/>
      <c r="S96" s="21"/>
      <c r="T96" s="191"/>
      <c r="U96" s="21"/>
      <c r="V96" s="295"/>
      <c r="W96" s="21"/>
      <c r="X96" s="21"/>
      <c r="Y96" s="23"/>
      <c r="Z96" s="23"/>
      <c r="AA96" s="24"/>
      <c r="AB96" s="24"/>
      <c r="AC96" s="24"/>
      <c r="AD96" s="24"/>
      <c r="AE96" s="24"/>
      <c r="AF96" s="24"/>
      <c r="AG96" s="24"/>
      <c r="AH96" s="24"/>
      <c r="AI96" s="24"/>
      <c r="AJ96" s="24"/>
      <c r="AK96" s="24"/>
      <c r="AL96" s="24"/>
      <c r="AO96" s="26"/>
      <c r="AQ96" s="24"/>
      <c r="AR96" s="24"/>
      <c r="AS96" s="24"/>
      <c r="AT96" s="24"/>
      <c r="AU96" s="24"/>
      <c r="AV96" s="24"/>
      <c r="AW96" s="24"/>
      <c r="AX96" s="24"/>
      <c r="AY96" s="24"/>
      <c r="AZ96" s="24"/>
      <c r="BA96" s="24"/>
      <c r="BB96" s="24"/>
      <c r="BC96" s="24"/>
      <c r="BD96" s="24"/>
      <c r="BE96" s="24"/>
      <c r="BF96" s="22"/>
      <c r="BG96" s="26"/>
      <c r="BH96" s="22"/>
      <c r="BI96" s="24"/>
      <c r="BJ96" s="24"/>
      <c r="BK96" s="24"/>
      <c r="BL96" s="24"/>
      <c r="BM96" s="24"/>
      <c r="BN96" s="24"/>
      <c r="BO96" s="24"/>
      <c r="BP96" s="24"/>
      <c r="BQ96" s="24"/>
      <c r="BR96" s="24"/>
      <c r="BS96" s="24"/>
      <c r="BT96" s="24"/>
      <c r="BU96" s="24"/>
      <c r="BV96" s="24"/>
      <c r="BW96" s="24"/>
      <c r="BX96" s="24"/>
      <c r="BY96" s="24"/>
      <c r="BZ96" s="24"/>
      <c r="CA96" s="24"/>
      <c r="CB96" s="22"/>
      <c r="CC96" s="24"/>
      <c r="CD96" s="24"/>
      <c r="CE96" s="24"/>
      <c r="CF96" s="24"/>
      <c r="CG96" s="24"/>
      <c r="CH96" s="22"/>
      <c r="CI96" s="24"/>
      <c r="CJ96" s="24"/>
      <c r="CK96" s="22"/>
      <c r="CL96" s="22"/>
      <c r="CM96" s="22"/>
      <c r="CN96" s="22"/>
      <c r="CO96" s="22"/>
      <c r="CP96" s="21"/>
      <c r="CQ96" s="21"/>
      <c r="CR96" s="21"/>
      <c r="CS96" s="21"/>
      <c r="CT96" s="21"/>
      <c r="CU96" s="21"/>
      <c r="CV96" s="21"/>
      <c r="CW96" s="21"/>
      <c r="CX96" s="21"/>
      <c r="CY96" s="21"/>
      <c r="CZ96" s="21"/>
      <c r="DA96" s="21"/>
    </row>
    <row r="97" spans="1:105" s="25" customFormat="1" ht="15.75" customHeight="1" x14ac:dyDescent="0.45">
      <c r="A97" s="207"/>
      <c r="B97" s="223"/>
      <c r="C97" s="21" t="s">
        <v>299</v>
      </c>
      <c r="D97" s="191" t="s">
        <v>25</v>
      </c>
      <c r="E97" s="157">
        <v>0.75</v>
      </c>
      <c r="F97" s="157">
        <v>0.75</v>
      </c>
      <c r="G97" s="21"/>
      <c r="H97" s="21"/>
      <c r="I97" s="214"/>
      <c r="J97" s="223"/>
      <c r="K97" s="21" t="s">
        <v>207</v>
      </c>
      <c r="L97" s="21"/>
      <c r="M97" s="21"/>
      <c r="N97" s="191" t="s">
        <v>21</v>
      </c>
      <c r="O97" s="168">
        <f>O96*$E$96</f>
        <v>0</v>
      </c>
      <c r="P97" s="168">
        <f>P96*$F$96</f>
        <v>0</v>
      </c>
      <c r="Q97" s="21"/>
      <c r="R97" s="21"/>
      <c r="S97" s="21"/>
      <c r="T97" s="191"/>
      <c r="U97" s="21"/>
      <c r="V97" s="295"/>
      <c r="W97" s="21"/>
      <c r="X97" s="21"/>
      <c r="Y97" s="23"/>
      <c r="Z97" s="23"/>
      <c r="AA97" s="24"/>
      <c r="AB97" s="24"/>
      <c r="AC97" s="24"/>
      <c r="AD97" s="24"/>
      <c r="AE97" s="24"/>
      <c r="AF97" s="24"/>
      <c r="AG97" s="24"/>
      <c r="AH97" s="24"/>
      <c r="AI97" s="24"/>
      <c r="AJ97" s="24"/>
      <c r="AK97" s="24"/>
      <c r="AL97" s="24"/>
      <c r="AO97" s="26"/>
      <c r="AQ97" s="24"/>
      <c r="AR97" s="24"/>
      <c r="AS97" s="24"/>
      <c r="AT97" s="24"/>
      <c r="AU97" s="24"/>
      <c r="AV97" s="24"/>
      <c r="AW97" s="24"/>
      <c r="AX97" s="24"/>
      <c r="AY97" s="24"/>
      <c r="AZ97" s="24"/>
      <c r="BA97" s="24"/>
      <c r="BB97" s="24"/>
      <c r="BC97" s="24"/>
      <c r="BD97" s="24"/>
      <c r="BE97" s="24"/>
      <c r="BF97" s="22"/>
      <c r="BG97" s="26"/>
      <c r="BH97" s="22"/>
      <c r="BI97" s="24"/>
      <c r="BJ97" s="24"/>
      <c r="BK97" s="24"/>
      <c r="BL97" s="24"/>
      <c r="BM97" s="24"/>
      <c r="BN97" s="24"/>
      <c r="BO97" s="24"/>
      <c r="BP97" s="24"/>
      <c r="BQ97" s="24"/>
      <c r="BR97" s="24"/>
      <c r="BS97" s="24"/>
      <c r="BT97" s="24"/>
      <c r="BU97" s="24"/>
      <c r="BV97" s="24"/>
      <c r="BW97" s="24"/>
      <c r="BX97" s="24"/>
      <c r="BY97" s="24"/>
      <c r="BZ97" s="24"/>
      <c r="CA97" s="24"/>
      <c r="CB97" s="22"/>
      <c r="CC97" s="24"/>
      <c r="CD97" s="24"/>
      <c r="CE97" s="24"/>
      <c r="CF97" s="24"/>
      <c r="CG97" s="24"/>
      <c r="CH97" s="22"/>
      <c r="CI97" s="24"/>
      <c r="CJ97" s="24"/>
      <c r="CK97" s="22"/>
      <c r="CL97" s="22"/>
      <c r="CM97" s="22"/>
      <c r="CN97" s="22"/>
      <c r="CO97" s="22"/>
      <c r="CP97" s="21"/>
      <c r="CQ97" s="21"/>
      <c r="CR97" s="21"/>
      <c r="CS97" s="21"/>
      <c r="CT97" s="21"/>
      <c r="CU97" s="21"/>
      <c r="CV97" s="21"/>
      <c r="CW97" s="21"/>
      <c r="CX97" s="21"/>
      <c r="CY97" s="21"/>
      <c r="CZ97" s="21"/>
      <c r="DA97" s="21"/>
    </row>
    <row r="98" spans="1:105" s="25" customFormat="1" ht="15.75" customHeight="1" x14ac:dyDescent="0.45">
      <c r="A98" s="207"/>
      <c r="B98" s="223"/>
      <c r="C98" s="119" t="s">
        <v>300</v>
      </c>
      <c r="D98" s="191" t="s">
        <v>14</v>
      </c>
      <c r="E98" s="150">
        <v>20</v>
      </c>
      <c r="F98" s="150">
        <v>20</v>
      </c>
      <c r="G98" s="21"/>
      <c r="H98" s="21"/>
      <c r="I98" s="214"/>
      <c r="J98" s="223"/>
      <c r="K98" s="252" t="s">
        <v>209</v>
      </c>
      <c r="L98" s="250"/>
      <c r="M98" s="250"/>
      <c r="N98" s="191" t="s">
        <v>21</v>
      </c>
      <c r="O98" s="168">
        <f>O94-SUM(O95:O97)</f>
        <v>427.5</v>
      </c>
      <c r="P98" s="168">
        <f t="shared" ref="P98" si="79">P94-SUM(P95:P97)</f>
        <v>345</v>
      </c>
      <c r="Q98" s="21"/>
      <c r="R98" s="21"/>
      <c r="S98" s="21"/>
      <c r="T98" s="191"/>
      <c r="U98" s="21"/>
      <c r="V98" s="295"/>
      <c r="W98" s="21"/>
      <c r="X98" s="21"/>
      <c r="Y98" s="23"/>
      <c r="Z98" s="23"/>
      <c r="AA98" s="24"/>
      <c r="AB98" s="24"/>
      <c r="AC98" s="24"/>
      <c r="AD98" s="24"/>
      <c r="AE98" s="24"/>
      <c r="AF98" s="24"/>
      <c r="AG98" s="24"/>
      <c r="AH98" s="24"/>
      <c r="AI98" s="24"/>
      <c r="AJ98" s="24"/>
      <c r="AK98" s="24"/>
      <c r="AL98" s="24"/>
      <c r="AO98" s="26"/>
      <c r="AQ98" s="24"/>
      <c r="AR98" s="24"/>
      <c r="AS98" s="24"/>
      <c r="AT98" s="24"/>
      <c r="AU98" s="24"/>
      <c r="AV98" s="24"/>
      <c r="AW98" s="24"/>
      <c r="AX98" s="24"/>
      <c r="AY98" s="24"/>
      <c r="AZ98" s="24"/>
      <c r="BA98" s="24"/>
      <c r="BB98" s="24"/>
      <c r="BC98" s="24"/>
      <c r="BD98" s="24"/>
      <c r="BE98" s="24"/>
      <c r="BF98" s="22"/>
      <c r="BG98" s="26"/>
      <c r="BH98" s="22"/>
      <c r="BI98" s="24"/>
      <c r="BJ98" s="24"/>
      <c r="BK98" s="24"/>
      <c r="BL98" s="24"/>
      <c r="BM98" s="24"/>
      <c r="BN98" s="24"/>
      <c r="BO98" s="24"/>
      <c r="BP98" s="24"/>
      <c r="BQ98" s="24"/>
      <c r="BR98" s="24"/>
      <c r="BS98" s="24"/>
      <c r="BT98" s="24"/>
      <c r="BU98" s="24"/>
      <c r="BV98" s="24"/>
      <c r="BW98" s="24"/>
      <c r="BX98" s="24"/>
      <c r="BY98" s="24"/>
      <c r="BZ98" s="24"/>
      <c r="CA98" s="24"/>
      <c r="CB98" s="22"/>
      <c r="CC98" s="24"/>
      <c r="CD98" s="24"/>
      <c r="CE98" s="24"/>
      <c r="CF98" s="24"/>
      <c r="CG98" s="24"/>
      <c r="CH98" s="22"/>
      <c r="CI98" s="24"/>
      <c r="CJ98" s="24"/>
      <c r="CK98" s="22"/>
      <c r="CL98" s="22"/>
      <c r="CM98" s="22"/>
      <c r="CN98" s="22"/>
      <c r="CO98" s="22"/>
      <c r="CP98" s="21"/>
      <c r="CQ98" s="21"/>
      <c r="CR98" s="21"/>
      <c r="CS98" s="21"/>
      <c r="CT98" s="21"/>
      <c r="CU98" s="21"/>
      <c r="CV98" s="21"/>
      <c r="CW98" s="21"/>
      <c r="CX98" s="21"/>
      <c r="CY98" s="21"/>
      <c r="CZ98" s="21"/>
      <c r="DA98" s="21"/>
    </row>
    <row r="99" spans="1:105" ht="15.75" customHeight="1" x14ac:dyDescent="0.45">
      <c r="A99" s="21"/>
      <c r="B99" s="21"/>
      <c r="C99" s="21" t="s">
        <v>210</v>
      </c>
      <c r="D99" s="191" t="s">
        <v>211</v>
      </c>
      <c r="E99" s="150">
        <v>3</v>
      </c>
      <c r="F99" s="150">
        <v>3</v>
      </c>
      <c r="I99" s="289"/>
      <c r="J99" s="21"/>
      <c r="K99" s="21" t="s">
        <v>212</v>
      </c>
      <c r="N99" s="191" t="s">
        <v>21</v>
      </c>
      <c r="O99" s="168">
        <f>O96/$E$98</f>
        <v>64.125</v>
      </c>
      <c r="P99" s="168">
        <f>P96/$F$98</f>
        <v>51.75</v>
      </c>
      <c r="T99" s="21"/>
      <c r="V99" s="22"/>
      <c r="Y99" s="21"/>
      <c r="Z99" s="21"/>
      <c r="AA99" s="22"/>
      <c r="AB99" s="22"/>
      <c r="AC99" s="22"/>
      <c r="AD99" s="22"/>
      <c r="AE99" s="22"/>
      <c r="AF99" s="22"/>
      <c r="AG99" s="22"/>
      <c r="AH99" s="22"/>
      <c r="AI99" s="22"/>
      <c r="AJ99" s="22"/>
      <c r="AK99" s="26"/>
      <c r="AL99" s="26"/>
      <c r="AM99" s="26"/>
      <c r="AN99" s="26"/>
      <c r="AP99" s="22"/>
      <c r="AQ99" s="22"/>
      <c r="AR99" s="22"/>
      <c r="AS99" s="22"/>
      <c r="AT99" s="22"/>
      <c r="AU99" s="22"/>
      <c r="AV99" s="22"/>
      <c r="AW99" s="22"/>
      <c r="AX99" s="22"/>
      <c r="AY99" s="22"/>
      <c r="AZ99" s="22"/>
      <c r="BA99" s="22"/>
      <c r="BB99" s="22"/>
      <c r="BC99" s="22"/>
      <c r="BD99" s="22"/>
      <c r="BE99" s="26"/>
      <c r="BG99" s="22"/>
      <c r="BI99" s="22"/>
      <c r="BJ99" s="22"/>
      <c r="BK99" s="22"/>
      <c r="BL99" s="22"/>
      <c r="BM99" s="22"/>
      <c r="BN99" s="22"/>
      <c r="BO99" s="22"/>
      <c r="BP99" s="22"/>
      <c r="BQ99" s="22"/>
      <c r="BR99" s="22"/>
      <c r="BS99" s="22"/>
      <c r="BT99" s="22"/>
      <c r="BU99" s="22"/>
      <c r="BV99" s="22"/>
      <c r="BW99" s="22"/>
      <c r="BX99" s="21"/>
      <c r="BY99" s="21"/>
      <c r="BZ99" s="21"/>
      <c r="CA99" s="21"/>
      <c r="CB99" s="21"/>
      <c r="CC99" s="21"/>
      <c r="CD99" s="21"/>
      <c r="CE99" s="21"/>
      <c r="CF99" s="21"/>
      <c r="CG99" s="21"/>
      <c r="CH99" s="21"/>
      <c r="CI99" s="21"/>
      <c r="CJ99" s="21"/>
      <c r="CK99" s="21"/>
      <c r="CL99" s="21"/>
      <c r="CM99" s="21"/>
      <c r="CN99" s="21"/>
      <c r="CO99" s="21"/>
    </row>
    <row r="100" spans="1:105" s="25" customFormat="1" ht="15.75" customHeight="1" x14ac:dyDescent="0.45">
      <c r="A100" s="207"/>
      <c r="B100" s="223"/>
      <c r="C100" s="119" t="s">
        <v>301</v>
      </c>
      <c r="D100" s="191" t="s">
        <v>25</v>
      </c>
      <c r="E100" s="153">
        <v>1.95E-2</v>
      </c>
      <c r="F100" s="153">
        <v>1.95E-2</v>
      </c>
      <c r="G100" s="21"/>
      <c r="H100" s="21"/>
      <c r="I100" s="214"/>
      <c r="J100" s="223"/>
      <c r="K100" s="21" t="s">
        <v>214</v>
      </c>
      <c r="L100" s="21"/>
      <c r="M100" s="21"/>
      <c r="N100" s="191" t="s">
        <v>215</v>
      </c>
      <c r="O100" s="168">
        <f>$E99+$F$18</f>
        <v>6</v>
      </c>
      <c r="P100" s="168">
        <f>$F99+$F$18</f>
        <v>6</v>
      </c>
      <c r="Q100" s="21"/>
      <c r="R100" s="21"/>
      <c r="S100" s="21"/>
      <c r="T100" s="191"/>
      <c r="U100" s="21"/>
      <c r="V100" s="295"/>
      <c r="W100" s="21"/>
      <c r="X100" s="21"/>
      <c r="Y100" s="23"/>
      <c r="Z100" s="23"/>
      <c r="AA100" s="24"/>
      <c r="AB100" s="24"/>
      <c r="AC100" s="24"/>
      <c r="AD100" s="24"/>
      <c r="AE100" s="24"/>
      <c r="AF100" s="24"/>
      <c r="AG100" s="24"/>
      <c r="AH100" s="24"/>
      <c r="AI100" s="24"/>
      <c r="AJ100" s="24"/>
      <c r="AK100" s="24"/>
      <c r="AL100" s="24"/>
      <c r="AO100" s="26"/>
      <c r="AQ100" s="24"/>
      <c r="AR100" s="24"/>
      <c r="AS100" s="24"/>
      <c r="AT100" s="24"/>
      <c r="AU100" s="24"/>
      <c r="AV100" s="24"/>
      <c r="AW100" s="24"/>
      <c r="AX100" s="24"/>
      <c r="AY100" s="24"/>
      <c r="AZ100" s="24"/>
      <c r="BA100" s="24"/>
      <c r="BB100" s="24"/>
      <c r="BC100" s="24"/>
      <c r="BD100" s="24"/>
      <c r="BE100" s="24"/>
      <c r="BF100" s="22"/>
      <c r="BG100" s="26"/>
      <c r="BH100" s="22"/>
      <c r="BI100" s="24"/>
      <c r="BJ100" s="24"/>
      <c r="BK100" s="24"/>
      <c r="BL100" s="24"/>
      <c r="BM100" s="24"/>
      <c r="BN100" s="24"/>
      <c r="BO100" s="24"/>
      <c r="BP100" s="24"/>
      <c r="BQ100" s="24"/>
      <c r="BR100" s="24"/>
      <c r="BS100" s="24"/>
      <c r="BT100" s="24"/>
      <c r="BU100" s="24"/>
      <c r="BV100" s="24"/>
      <c r="BW100" s="24"/>
      <c r="BX100" s="24"/>
      <c r="BY100" s="24"/>
      <c r="BZ100" s="24"/>
      <c r="CA100" s="24"/>
      <c r="CB100" s="22"/>
      <c r="CC100" s="24"/>
      <c r="CD100" s="24"/>
      <c r="CE100" s="24"/>
      <c r="CF100" s="24"/>
      <c r="CG100" s="24"/>
      <c r="CH100" s="22"/>
      <c r="CI100" s="24"/>
      <c r="CJ100" s="24"/>
      <c r="CK100" s="22"/>
      <c r="CL100" s="22"/>
      <c r="CM100" s="22"/>
      <c r="CN100" s="22"/>
      <c r="CO100" s="22"/>
      <c r="CP100" s="21"/>
      <c r="CQ100" s="21"/>
      <c r="CR100" s="21"/>
      <c r="CS100" s="21"/>
      <c r="CT100" s="21"/>
      <c r="CU100" s="21"/>
      <c r="CV100" s="21"/>
      <c r="CW100" s="21"/>
      <c r="CX100" s="21"/>
      <c r="CY100" s="21"/>
      <c r="CZ100" s="21"/>
      <c r="DA100" s="21"/>
    </row>
    <row r="101" spans="1:105" s="25" customFormat="1" ht="15.75" customHeight="1" x14ac:dyDescent="0.55000000000000004">
      <c r="A101" s="207"/>
      <c r="B101" s="223"/>
      <c r="C101" s="119"/>
      <c r="D101" s="191"/>
      <c r="E101" s="21"/>
      <c r="F101" s="21"/>
      <c r="G101" s="21"/>
      <c r="H101" s="21"/>
      <c r="I101" s="214"/>
      <c r="J101" s="223"/>
      <c r="Q101" s="21"/>
      <c r="R101" s="21"/>
      <c r="S101" s="21"/>
      <c r="T101" s="191"/>
      <c r="U101" s="21"/>
      <c r="V101" s="295"/>
      <c r="W101" s="21"/>
      <c r="X101" s="21"/>
      <c r="Y101" s="23"/>
      <c r="Z101" s="23"/>
      <c r="AA101" s="24"/>
      <c r="AB101" s="24"/>
      <c r="AC101" s="24"/>
      <c r="AD101" s="24"/>
      <c r="AE101" s="24"/>
      <c r="AF101" s="24"/>
      <c r="AG101" s="24"/>
      <c r="AH101" s="24"/>
      <c r="AI101" s="24"/>
      <c r="AJ101" s="24"/>
      <c r="AK101" s="24"/>
      <c r="AL101" s="24"/>
      <c r="AO101" s="26"/>
      <c r="AQ101" s="24"/>
      <c r="AR101" s="24"/>
      <c r="AS101" s="24"/>
      <c r="AT101" s="24"/>
      <c r="AU101" s="24"/>
      <c r="AV101" s="24"/>
      <c r="AW101" s="24"/>
      <c r="AX101" s="24"/>
      <c r="AY101" s="24"/>
      <c r="AZ101" s="24"/>
      <c r="BA101" s="24"/>
      <c r="BB101" s="24"/>
      <c r="BC101" s="24"/>
      <c r="BD101" s="24"/>
      <c r="BE101" s="24"/>
      <c r="BF101" s="22"/>
      <c r="BG101" s="26"/>
      <c r="BH101" s="22"/>
      <c r="BI101" s="24"/>
      <c r="BJ101" s="24"/>
      <c r="BK101" s="24"/>
      <c r="BL101" s="24"/>
      <c r="BM101" s="24"/>
      <c r="BN101" s="24"/>
      <c r="BO101" s="24"/>
      <c r="BP101" s="24"/>
      <c r="BQ101" s="24"/>
      <c r="BR101" s="24"/>
      <c r="BS101" s="24"/>
      <c r="BT101" s="24"/>
      <c r="BU101" s="24"/>
      <c r="BV101" s="24"/>
      <c r="BW101" s="24"/>
      <c r="BX101" s="24"/>
      <c r="BY101" s="24"/>
      <c r="BZ101" s="24"/>
      <c r="CA101" s="24"/>
      <c r="CB101" s="22"/>
      <c r="CC101" s="24"/>
      <c r="CD101" s="24"/>
      <c r="CE101" s="24"/>
      <c r="CF101" s="24"/>
      <c r="CG101" s="24"/>
      <c r="CH101" s="22"/>
      <c r="CI101" s="24"/>
      <c r="CJ101" s="24"/>
      <c r="CK101" s="22"/>
      <c r="CL101" s="22"/>
      <c r="CM101" s="22"/>
      <c r="CN101" s="22"/>
      <c r="CO101" s="22"/>
      <c r="CP101" s="21"/>
      <c r="CQ101" s="21"/>
      <c r="CR101" s="21"/>
      <c r="CS101" s="21"/>
      <c r="CT101" s="21"/>
      <c r="CU101" s="21"/>
      <c r="CV101" s="21"/>
      <c r="CW101" s="21"/>
      <c r="CX101" s="21"/>
      <c r="CY101" s="21"/>
      <c r="CZ101" s="21"/>
      <c r="DA101" s="21"/>
    </row>
    <row r="102" spans="1:105" s="25" customFormat="1" ht="15.75" customHeight="1" x14ac:dyDescent="0.55000000000000004">
      <c r="A102" s="207"/>
      <c r="B102" s="223"/>
      <c r="C102" s="21"/>
      <c r="D102" s="191"/>
      <c r="E102" s="21"/>
      <c r="F102" s="21"/>
      <c r="G102" s="21"/>
      <c r="H102" s="21"/>
      <c r="I102" s="214"/>
      <c r="J102" s="250"/>
      <c r="Q102" s="21"/>
      <c r="R102" s="21"/>
      <c r="S102" s="21"/>
      <c r="T102" s="191"/>
      <c r="U102" s="21"/>
      <c r="V102" s="289"/>
      <c r="W102" s="21"/>
      <c r="X102" s="21"/>
      <c r="Y102" s="23"/>
      <c r="Z102" s="23"/>
      <c r="AA102" s="24"/>
      <c r="AB102" s="24"/>
      <c r="AC102" s="24"/>
      <c r="AD102" s="24"/>
      <c r="AE102" s="24"/>
      <c r="AF102" s="24"/>
      <c r="AG102" s="24"/>
      <c r="AH102" s="24"/>
      <c r="AI102" s="24"/>
      <c r="AJ102" s="24"/>
      <c r="AK102" s="24"/>
      <c r="AL102" s="24"/>
      <c r="AO102" s="26"/>
      <c r="AQ102" s="24"/>
      <c r="AR102" s="24"/>
      <c r="AS102" s="24"/>
      <c r="AT102" s="24"/>
      <c r="AU102" s="24"/>
      <c r="AV102" s="24"/>
      <c r="AW102" s="24"/>
      <c r="AX102" s="24"/>
      <c r="AY102" s="24"/>
      <c r="AZ102" s="24"/>
      <c r="BA102" s="24"/>
      <c r="BB102" s="24"/>
      <c r="BC102" s="24"/>
      <c r="BD102" s="24"/>
      <c r="BE102" s="24"/>
      <c r="BF102" s="22"/>
      <c r="BG102" s="26"/>
      <c r="BH102" s="22"/>
      <c r="BI102" s="24"/>
      <c r="BJ102" s="24"/>
      <c r="BK102" s="24"/>
      <c r="BL102" s="24"/>
      <c r="BM102" s="24"/>
      <c r="BN102" s="24"/>
      <c r="BO102" s="24"/>
      <c r="BP102" s="24"/>
      <c r="BQ102" s="24"/>
      <c r="BR102" s="24"/>
      <c r="BS102" s="24"/>
      <c r="BT102" s="24"/>
      <c r="BU102" s="24"/>
      <c r="BV102" s="24"/>
      <c r="BW102" s="24"/>
      <c r="BX102" s="24"/>
      <c r="BY102" s="24"/>
      <c r="BZ102" s="24"/>
      <c r="CA102" s="24"/>
      <c r="CB102" s="22"/>
      <c r="CC102" s="24"/>
      <c r="CD102" s="24"/>
      <c r="CE102" s="24"/>
      <c r="CF102" s="24"/>
      <c r="CG102" s="24"/>
      <c r="CH102" s="22"/>
      <c r="CI102" s="24"/>
      <c r="CJ102" s="24"/>
      <c r="CK102" s="22"/>
      <c r="CL102" s="22"/>
      <c r="CM102" s="22"/>
      <c r="CN102" s="22"/>
      <c r="CO102" s="22"/>
      <c r="CP102" s="21"/>
      <c r="CQ102" s="21"/>
      <c r="CR102" s="21"/>
      <c r="CS102" s="21"/>
      <c r="CT102" s="21"/>
      <c r="CU102" s="21"/>
      <c r="CV102" s="21"/>
      <c r="CW102" s="21"/>
      <c r="CX102" s="21"/>
      <c r="CY102" s="21"/>
      <c r="CZ102" s="21"/>
      <c r="DA102" s="21"/>
    </row>
    <row r="103" spans="1:105" s="25" customFormat="1" ht="15.75" customHeight="1" x14ac:dyDescent="0.55000000000000004">
      <c r="A103" s="207"/>
      <c r="B103" s="223" t="s">
        <v>302</v>
      </c>
      <c r="F103" s="21" t="s">
        <v>98</v>
      </c>
      <c r="G103" s="21"/>
      <c r="H103" s="21"/>
      <c r="I103" s="214"/>
      <c r="J103" s="223" t="s">
        <v>302</v>
      </c>
      <c r="K103" s="21"/>
      <c r="L103" s="250"/>
      <c r="M103" s="250"/>
      <c r="N103" s="250"/>
      <c r="O103" s="250"/>
      <c r="P103" s="250"/>
      <c r="Q103" s="21"/>
      <c r="R103" s="21"/>
      <c r="S103" s="21"/>
      <c r="T103" s="191"/>
      <c r="U103" s="21"/>
      <c r="V103" s="289"/>
      <c r="W103" s="21"/>
      <c r="X103" s="21"/>
      <c r="Y103" s="23"/>
      <c r="Z103" s="23"/>
      <c r="AA103" s="24"/>
      <c r="AB103" s="24"/>
      <c r="AC103" s="24"/>
      <c r="AD103" s="24"/>
      <c r="AE103" s="24"/>
      <c r="AF103" s="24"/>
      <c r="AG103" s="24"/>
      <c r="AH103" s="24"/>
      <c r="AI103" s="24"/>
      <c r="AJ103" s="24"/>
      <c r="AK103" s="24"/>
      <c r="AL103" s="24"/>
      <c r="AO103" s="26"/>
      <c r="AQ103" s="24"/>
      <c r="AR103" s="24"/>
      <c r="AS103" s="24"/>
      <c r="AT103" s="24"/>
      <c r="AU103" s="24"/>
      <c r="AV103" s="24"/>
      <c r="AW103" s="24"/>
      <c r="AX103" s="24"/>
      <c r="AY103" s="24"/>
      <c r="AZ103" s="24"/>
      <c r="BA103" s="24"/>
      <c r="BB103" s="24"/>
      <c r="BC103" s="24"/>
      <c r="BD103" s="24"/>
      <c r="BE103" s="24"/>
      <c r="BF103" s="22"/>
      <c r="BG103" s="26"/>
      <c r="BH103" s="22"/>
      <c r="BI103" s="24"/>
      <c r="BJ103" s="24"/>
      <c r="BK103" s="24"/>
      <c r="BL103" s="24"/>
      <c r="BM103" s="24"/>
      <c r="BN103" s="24"/>
      <c r="BO103" s="24"/>
      <c r="BP103" s="24"/>
      <c r="BQ103" s="24"/>
      <c r="BR103" s="24"/>
      <c r="BS103" s="24"/>
      <c r="BT103" s="24"/>
      <c r="BU103" s="24"/>
      <c r="BV103" s="24"/>
      <c r="BW103" s="24"/>
      <c r="BX103" s="24"/>
      <c r="BY103" s="24"/>
      <c r="BZ103" s="24"/>
      <c r="CA103" s="24"/>
      <c r="CB103" s="22"/>
      <c r="CC103" s="24"/>
      <c r="CD103" s="24"/>
      <c r="CE103" s="24"/>
      <c r="CF103" s="24"/>
      <c r="CG103" s="24"/>
      <c r="CH103" s="22"/>
      <c r="CI103" s="24"/>
      <c r="CJ103" s="24"/>
      <c r="CK103" s="22"/>
      <c r="CL103" s="22"/>
      <c r="CM103" s="22"/>
      <c r="CN103" s="22"/>
      <c r="CO103" s="22"/>
      <c r="CP103" s="21"/>
      <c r="CQ103" s="21"/>
      <c r="CR103" s="21"/>
      <c r="CS103" s="21"/>
      <c r="CT103" s="21"/>
      <c r="CU103" s="21"/>
      <c r="CV103" s="21"/>
      <c r="CW103" s="21"/>
      <c r="CX103" s="21"/>
      <c r="CY103" s="21"/>
      <c r="CZ103" s="21"/>
      <c r="DA103" s="21"/>
    </row>
    <row r="104" spans="1:105" s="25" customFormat="1" ht="15.75" customHeight="1" x14ac:dyDescent="0.55000000000000004">
      <c r="A104" s="207"/>
      <c r="B104" s="223"/>
      <c r="C104" s="21" t="s">
        <v>365</v>
      </c>
      <c r="D104" s="191" t="s">
        <v>21</v>
      </c>
      <c r="E104" s="21"/>
      <c r="F104" s="143">
        <f>P35</f>
        <v>1150</v>
      </c>
      <c r="G104" s="21" t="s">
        <v>366</v>
      </c>
      <c r="H104" s="21"/>
      <c r="I104" s="214"/>
      <c r="J104" s="223"/>
      <c r="K104" s="21" t="s">
        <v>367</v>
      </c>
      <c r="L104" s="21"/>
      <c r="M104" s="21"/>
      <c r="N104" s="191" t="s">
        <v>21</v>
      </c>
      <c r="O104" s="21"/>
      <c r="P104" s="143">
        <f>F104</f>
        <v>1150</v>
      </c>
      <c r="Q104" s="21"/>
      <c r="R104" s="21"/>
      <c r="S104" s="21"/>
      <c r="T104" s="191"/>
      <c r="U104" s="21"/>
      <c r="V104" s="289"/>
      <c r="W104" s="21"/>
      <c r="X104" s="21"/>
      <c r="Y104" s="23"/>
      <c r="Z104" s="23"/>
      <c r="AA104" s="24"/>
      <c r="AB104" s="24"/>
      <c r="AC104" s="24"/>
      <c r="AD104" s="24"/>
      <c r="AE104" s="24"/>
      <c r="AF104" s="24"/>
      <c r="AG104" s="24"/>
      <c r="AH104" s="24"/>
      <c r="AI104" s="24"/>
      <c r="AJ104" s="24"/>
      <c r="AK104" s="24"/>
      <c r="AL104" s="24"/>
      <c r="AO104" s="26"/>
      <c r="AQ104" s="24"/>
      <c r="AR104" s="24"/>
      <c r="AS104" s="24"/>
      <c r="AT104" s="24"/>
      <c r="AU104" s="24"/>
      <c r="AV104" s="24"/>
      <c r="AW104" s="24"/>
      <c r="AX104" s="24"/>
      <c r="AY104" s="24"/>
      <c r="AZ104" s="24"/>
      <c r="BA104" s="24"/>
      <c r="BB104" s="24"/>
      <c r="BC104" s="24"/>
      <c r="BD104" s="24"/>
      <c r="BE104" s="24"/>
      <c r="BF104" s="22"/>
      <c r="BG104" s="26"/>
      <c r="BH104" s="22"/>
      <c r="BI104" s="24"/>
      <c r="BJ104" s="24"/>
      <c r="BK104" s="24"/>
      <c r="BL104" s="24"/>
      <c r="BM104" s="24"/>
      <c r="BN104" s="24"/>
      <c r="BO104" s="24"/>
      <c r="BP104" s="24"/>
      <c r="BQ104" s="24"/>
      <c r="BR104" s="24"/>
      <c r="BS104" s="24"/>
      <c r="BT104" s="24"/>
      <c r="BU104" s="24"/>
      <c r="BV104" s="24"/>
      <c r="BW104" s="24"/>
      <c r="BX104" s="24"/>
      <c r="BY104" s="24"/>
      <c r="BZ104" s="24"/>
      <c r="CA104" s="24"/>
      <c r="CB104" s="22"/>
      <c r="CC104" s="24"/>
      <c r="CD104" s="24"/>
      <c r="CE104" s="24"/>
      <c r="CF104" s="24"/>
      <c r="CG104" s="24"/>
      <c r="CH104" s="22"/>
      <c r="CI104" s="24"/>
      <c r="CJ104" s="24"/>
      <c r="CK104" s="22"/>
      <c r="CL104" s="22"/>
      <c r="CM104" s="22"/>
      <c r="CN104" s="22"/>
      <c r="CO104" s="22"/>
      <c r="CP104" s="21"/>
      <c r="CQ104" s="21"/>
      <c r="CR104" s="21"/>
      <c r="CS104" s="21"/>
      <c r="CT104" s="21"/>
      <c r="CU104" s="21"/>
      <c r="CV104" s="21"/>
      <c r="CW104" s="21"/>
      <c r="CX104" s="21"/>
      <c r="CY104" s="21"/>
      <c r="CZ104" s="21"/>
      <c r="DA104" s="21"/>
    </row>
    <row r="105" spans="1:105" s="25" customFormat="1" ht="15.75" customHeight="1" x14ac:dyDescent="0.55000000000000004">
      <c r="A105" s="207"/>
      <c r="B105" s="223"/>
      <c r="C105" s="21" t="s">
        <v>368</v>
      </c>
      <c r="D105" s="191" t="s">
        <v>21</v>
      </c>
      <c r="E105" s="21"/>
      <c r="F105" s="143">
        <f>P88</f>
        <v>550</v>
      </c>
      <c r="G105" s="21" t="s">
        <v>369</v>
      </c>
      <c r="H105" s="21"/>
      <c r="I105" s="214"/>
      <c r="J105" s="223"/>
      <c r="K105" s="21" t="s">
        <v>370</v>
      </c>
      <c r="L105" s="21"/>
      <c r="M105" s="21"/>
      <c r="N105" s="191" t="s">
        <v>21</v>
      </c>
      <c r="O105" s="21"/>
      <c r="P105" s="324">
        <f>SUM(F105:F110)*F112</f>
        <v>393</v>
      </c>
      <c r="Q105" s="21"/>
      <c r="R105" s="21"/>
      <c r="S105" s="21"/>
      <c r="T105" s="191"/>
      <c r="U105" s="21"/>
      <c r="V105" s="289"/>
      <c r="W105" s="21"/>
      <c r="X105" s="21"/>
      <c r="Y105" s="23"/>
      <c r="Z105" s="23"/>
      <c r="AA105" s="24"/>
      <c r="AB105" s="24"/>
      <c r="AC105" s="24"/>
      <c r="AD105" s="24"/>
      <c r="AE105" s="24"/>
      <c r="AF105" s="24"/>
      <c r="AG105" s="24"/>
      <c r="AH105" s="24"/>
      <c r="AI105" s="24"/>
      <c r="AJ105" s="24"/>
      <c r="AK105" s="24"/>
      <c r="AL105" s="24"/>
      <c r="AO105" s="26"/>
      <c r="AQ105" s="24"/>
      <c r="AR105" s="24"/>
      <c r="AS105" s="24"/>
      <c r="AT105" s="24"/>
      <c r="AU105" s="24"/>
      <c r="AV105" s="24"/>
      <c r="AW105" s="24"/>
      <c r="AX105" s="24"/>
      <c r="AY105" s="24"/>
      <c r="AZ105" s="24"/>
      <c r="BA105" s="24"/>
      <c r="BB105" s="24"/>
      <c r="BC105" s="24"/>
      <c r="BD105" s="24"/>
      <c r="BE105" s="24"/>
      <c r="BF105" s="22"/>
      <c r="BG105" s="26"/>
      <c r="BH105" s="22"/>
      <c r="BI105" s="24"/>
      <c r="BJ105" s="24"/>
      <c r="BK105" s="24"/>
      <c r="BL105" s="24"/>
      <c r="BM105" s="24"/>
      <c r="BN105" s="24"/>
      <c r="BO105" s="24"/>
      <c r="BP105" s="24"/>
      <c r="BQ105" s="24"/>
      <c r="BR105" s="24"/>
      <c r="BS105" s="24"/>
      <c r="BT105" s="24"/>
      <c r="BU105" s="24"/>
      <c r="BV105" s="24"/>
      <c r="BW105" s="24"/>
      <c r="BX105" s="24"/>
      <c r="BY105" s="24"/>
      <c r="BZ105" s="24"/>
      <c r="CA105" s="24"/>
      <c r="CB105" s="22"/>
      <c r="CC105" s="24"/>
      <c r="CD105" s="24"/>
      <c r="CE105" s="24"/>
      <c r="CF105" s="24"/>
      <c r="CG105" s="24"/>
      <c r="CH105" s="22"/>
      <c r="CI105" s="24"/>
      <c r="CJ105" s="24"/>
      <c r="CK105" s="22"/>
      <c r="CL105" s="22"/>
      <c r="CM105" s="22"/>
      <c r="CN105" s="22"/>
      <c r="CO105" s="22"/>
      <c r="CP105" s="21"/>
      <c r="CQ105" s="21"/>
      <c r="CR105" s="21"/>
      <c r="CS105" s="21"/>
      <c r="CT105" s="21"/>
      <c r="CU105" s="21"/>
      <c r="CV105" s="21"/>
      <c r="CW105" s="21"/>
      <c r="CX105" s="21"/>
      <c r="CY105" s="21"/>
      <c r="CZ105" s="21"/>
      <c r="DA105" s="21"/>
    </row>
    <row r="106" spans="1:105" s="25" customFormat="1" ht="15.75" customHeight="1" x14ac:dyDescent="0.55000000000000004">
      <c r="A106" s="207"/>
      <c r="B106" s="223"/>
      <c r="C106" s="21" t="s">
        <v>371</v>
      </c>
      <c r="D106" s="191" t="s">
        <v>21</v>
      </c>
      <c r="E106" s="21"/>
      <c r="F106" s="143">
        <f>F70</f>
        <v>0</v>
      </c>
      <c r="G106" s="21" t="s">
        <v>369</v>
      </c>
      <c r="H106" s="21"/>
      <c r="I106" s="214"/>
      <c r="J106" s="223"/>
      <c r="K106" s="241" t="s">
        <v>372</v>
      </c>
      <c r="L106" s="241"/>
      <c r="M106" s="241"/>
      <c r="N106" s="242" t="s">
        <v>21</v>
      </c>
      <c r="O106" s="241"/>
      <c r="P106" s="325">
        <f>SUM(P104:P105)</f>
        <v>1543</v>
      </c>
      <c r="Q106" s="21"/>
      <c r="R106" s="21"/>
      <c r="S106" s="21"/>
      <c r="T106" s="191"/>
      <c r="U106" s="21"/>
      <c r="V106" s="289"/>
      <c r="W106" s="21"/>
      <c r="X106" s="21"/>
      <c r="Y106" s="23"/>
      <c r="Z106" s="23"/>
      <c r="AA106" s="24"/>
      <c r="AB106" s="24"/>
      <c r="AC106" s="24"/>
      <c r="AD106" s="24"/>
      <c r="AE106" s="24"/>
      <c r="AF106" s="24"/>
      <c r="AG106" s="24"/>
      <c r="AH106" s="24"/>
      <c r="AI106" s="24"/>
      <c r="AJ106" s="24"/>
      <c r="AK106" s="24"/>
      <c r="AL106" s="24"/>
      <c r="AO106" s="26"/>
      <c r="AQ106" s="24"/>
      <c r="AR106" s="24"/>
      <c r="AS106" s="24"/>
      <c r="AT106" s="24"/>
      <c r="AU106" s="24"/>
      <c r="AV106" s="24"/>
      <c r="AW106" s="24"/>
      <c r="AX106" s="24"/>
      <c r="AY106" s="24"/>
      <c r="AZ106" s="24"/>
      <c r="BA106" s="24"/>
      <c r="BB106" s="24"/>
      <c r="BC106" s="24"/>
      <c r="BD106" s="24"/>
      <c r="BE106" s="24"/>
      <c r="BF106" s="22"/>
      <c r="BG106" s="26"/>
      <c r="BH106" s="22"/>
      <c r="BI106" s="24"/>
      <c r="BJ106" s="24"/>
      <c r="BK106" s="24"/>
      <c r="BL106" s="24"/>
      <c r="BM106" s="24"/>
      <c r="BN106" s="24"/>
      <c r="BO106" s="24"/>
      <c r="BP106" s="24"/>
      <c r="BQ106" s="24"/>
      <c r="BR106" s="24"/>
      <c r="BS106" s="24"/>
      <c r="BT106" s="24"/>
      <c r="BU106" s="24"/>
      <c r="BV106" s="24"/>
      <c r="BW106" s="24"/>
      <c r="BX106" s="24"/>
      <c r="BY106" s="24"/>
      <c r="BZ106" s="24"/>
      <c r="CA106" s="24"/>
      <c r="CB106" s="22"/>
      <c r="CC106" s="24"/>
      <c r="CD106" s="24"/>
      <c r="CE106" s="24"/>
      <c r="CF106" s="24"/>
      <c r="CG106" s="24"/>
      <c r="CH106" s="22"/>
      <c r="CI106" s="24"/>
      <c r="CJ106" s="24"/>
      <c r="CK106" s="22"/>
      <c r="CL106" s="22"/>
      <c r="CM106" s="22"/>
      <c r="CN106" s="22"/>
      <c r="CO106" s="22"/>
      <c r="CP106" s="21"/>
      <c r="CQ106" s="21"/>
      <c r="CR106" s="21"/>
      <c r="CS106" s="21"/>
      <c r="CT106" s="21"/>
      <c r="CU106" s="21"/>
      <c r="CV106" s="21"/>
      <c r="CW106" s="21"/>
      <c r="CX106" s="21"/>
      <c r="CY106" s="21"/>
      <c r="CZ106" s="21"/>
      <c r="DA106" s="21"/>
    </row>
    <row r="107" spans="1:105" s="25" customFormat="1" ht="15.75" customHeight="1" x14ac:dyDescent="0.45">
      <c r="A107" s="207"/>
      <c r="B107" s="223"/>
      <c r="C107" s="21" t="s">
        <v>373</v>
      </c>
      <c r="D107" s="191" t="s">
        <v>21</v>
      </c>
      <c r="E107" s="21"/>
      <c r="F107" s="150">
        <v>100</v>
      </c>
      <c r="G107" s="21" t="s">
        <v>369</v>
      </c>
      <c r="H107" s="21"/>
      <c r="I107" s="214"/>
      <c r="J107" s="223"/>
      <c r="K107" s="21"/>
      <c r="L107" s="21"/>
      <c r="M107" s="21"/>
      <c r="N107" s="191"/>
      <c r="O107" s="21"/>
      <c r="P107" s="21"/>
      <c r="Q107" s="21"/>
      <c r="R107" s="21"/>
      <c r="S107" s="21"/>
      <c r="T107" s="191"/>
      <c r="U107" s="21"/>
      <c r="V107" s="289"/>
      <c r="W107" s="21"/>
      <c r="X107" s="21"/>
      <c r="Y107" s="23"/>
      <c r="Z107" s="23"/>
      <c r="AA107" s="24"/>
      <c r="AB107" s="24"/>
      <c r="AC107" s="24"/>
      <c r="AD107" s="24"/>
      <c r="AE107" s="24"/>
      <c r="AF107" s="24"/>
      <c r="AG107" s="24"/>
      <c r="AH107" s="24"/>
      <c r="AI107" s="24"/>
      <c r="AJ107" s="24"/>
      <c r="AK107" s="24"/>
      <c r="AL107" s="24"/>
      <c r="AO107" s="26"/>
      <c r="AQ107" s="24"/>
      <c r="AR107" s="24"/>
      <c r="AS107" s="24"/>
      <c r="AT107" s="24"/>
      <c r="AU107" s="24"/>
      <c r="AV107" s="24"/>
      <c r="AW107" s="24"/>
      <c r="AX107" s="24"/>
      <c r="AY107" s="24"/>
      <c r="AZ107" s="24"/>
      <c r="BA107" s="24"/>
      <c r="BB107" s="24"/>
      <c r="BC107" s="24"/>
      <c r="BD107" s="24"/>
      <c r="BE107" s="24"/>
      <c r="BF107" s="22"/>
      <c r="BG107" s="26"/>
      <c r="BH107" s="22"/>
      <c r="BI107" s="24"/>
      <c r="BJ107" s="24"/>
      <c r="BK107" s="24"/>
      <c r="BL107" s="24"/>
      <c r="BM107" s="24"/>
      <c r="BN107" s="24"/>
      <c r="BO107" s="24"/>
      <c r="BP107" s="24"/>
      <c r="BQ107" s="24"/>
      <c r="BR107" s="24"/>
      <c r="BS107" s="24"/>
      <c r="BT107" s="24"/>
      <c r="BU107" s="24"/>
      <c r="BV107" s="24"/>
      <c r="BW107" s="24"/>
      <c r="BX107" s="24"/>
      <c r="BY107" s="24"/>
      <c r="BZ107" s="24"/>
      <c r="CA107" s="24"/>
      <c r="CB107" s="22"/>
      <c r="CC107" s="24"/>
      <c r="CD107" s="24"/>
      <c r="CE107" s="24"/>
      <c r="CF107" s="24"/>
      <c r="CG107" s="24"/>
      <c r="CH107" s="22"/>
      <c r="CI107" s="24"/>
      <c r="CJ107" s="24"/>
      <c r="CK107" s="22"/>
      <c r="CL107" s="22"/>
      <c r="CM107" s="22"/>
      <c r="CN107" s="22"/>
      <c r="CO107" s="22"/>
      <c r="CP107" s="21"/>
      <c r="CQ107" s="21"/>
      <c r="CR107" s="21"/>
      <c r="CS107" s="21"/>
      <c r="CT107" s="21"/>
      <c r="CU107" s="21"/>
      <c r="CV107" s="21"/>
      <c r="CW107" s="21"/>
      <c r="CX107" s="21"/>
      <c r="CY107" s="21"/>
      <c r="CZ107" s="21"/>
      <c r="DA107" s="21"/>
    </row>
    <row r="108" spans="1:105" s="25" customFormat="1" ht="15.75" customHeight="1" x14ac:dyDescent="0.55000000000000004">
      <c r="A108" s="207"/>
      <c r="B108" s="223"/>
      <c r="C108" s="23" t="s">
        <v>374</v>
      </c>
      <c r="D108" s="191" t="s">
        <v>21</v>
      </c>
      <c r="E108" s="21"/>
      <c r="F108" s="189">
        <v>36</v>
      </c>
      <c r="G108" s="21" t="s">
        <v>369</v>
      </c>
      <c r="H108" s="21"/>
      <c r="I108" s="214"/>
      <c r="J108" s="223"/>
      <c r="K108" s="21" t="s">
        <v>375</v>
      </c>
      <c r="L108" s="21"/>
      <c r="M108" s="21"/>
      <c r="N108" s="191" t="s">
        <v>25</v>
      </c>
      <c r="O108" s="22"/>
      <c r="P108" s="136">
        <f>SUM(F114:F115)</f>
        <v>2.7833999999999998E-2</v>
      </c>
      <c r="Q108" s="21"/>
      <c r="R108" s="21"/>
      <c r="S108" s="21"/>
      <c r="T108" s="191"/>
      <c r="U108" s="21"/>
      <c r="V108" s="289"/>
      <c r="W108" s="21"/>
      <c r="X108" s="21"/>
      <c r="Y108" s="23"/>
      <c r="Z108" s="23"/>
      <c r="AA108" s="24"/>
      <c r="AB108" s="24"/>
      <c r="AC108" s="24"/>
      <c r="AD108" s="24"/>
      <c r="AE108" s="24"/>
      <c r="AF108" s="24"/>
      <c r="AG108" s="24"/>
      <c r="AH108" s="24"/>
      <c r="AI108" s="24"/>
      <c r="AJ108" s="24"/>
      <c r="AK108" s="24"/>
      <c r="AL108" s="24"/>
      <c r="AO108" s="26"/>
      <c r="AQ108" s="24"/>
      <c r="AR108" s="24"/>
      <c r="AS108" s="24"/>
      <c r="AT108" s="24"/>
      <c r="AU108" s="24"/>
      <c r="AV108" s="24"/>
      <c r="AW108" s="24"/>
      <c r="AX108" s="24"/>
      <c r="AY108" s="24"/>
      <c r="AZ108" s="24"/>
      <c r="BA108" s="24"/>
      <c r="BB108" s="24"/>
      <c r="BC108" s="24"/>
      <c r="BD108" s="24"/>
      <c r="BE108" s="24"/>
      <c r="BF108" s="22"/>
      <c r="BG108" s="26"/>
      <c r="BH108" s="22"/>
      <c r="BI108" s="24"/>
      <c r="BJ108" s="24"/>
      <c r="BK108" s="24"/>
      <c r="BL108" s="24"/>
      <c r="BM108" s="24"/>
      <c r="BN108" s="24"/>
      <c r="BO108" s="24"/>
      <c r="BP108" s="24"/>
      <c r="BQ108" s="24"/>
      <c r="BR108" s="24"/>
      <c r="BS108" s="24"/>
      <c r="BT108" s="24"/>
      <c r="BU108" s="24"/>
      <c r="BV108" s="24"/>
      <c r="BW108" s="24"/>
      <c r="BX108" s="24"/>
      <c r="BY108" s="24"/>
      <c r="BZ108" s="24"/>
      <c r="CA108" s="24"/>
      <c r="CB108" s="22"/>
      <c r="CC108" s="24"/>
      <c r="CD108" s="24"/>
      <c r="CE108" s="24"/>
      <c r="CF108" s="24"/>
      <c r="CG108" s="24"/>
      <c r="CH108" s="22"/>
      <c r="CI108" s="24"/>
      <c r="CJ108" s="24"/>
      <c r="CK108" s="22"/>
      <c r="CL108" s="22"/>
      <c r="CM108" s="22"/>
      <c r="CN108" s="22"/>
      <c r="CO108" s="22"/>
      <c r="CP108" s="21"/>
      <c r="CQ108" s="21"/>
      <c r="CR108" s="21"/>
      <c r="CS108" s="21"/>
      <c r="CT108" s="21"/>
      <c r="CU108" s="21"/>
      <c r="CV108" s="21"/>
      <c r="CW108" s="21"/>
      <c r="CX108" s="21"/>
      <c r="CY108" s="21"/>
      <c r="CZ108" s="21"/>
      <c r="DA108" s="21"/>
    </row>
    <row r="109" spans="1:105" s="25" customFormat="1" ht="15.75" customHeight="1" x14ac:dyDescent="0.45">
      <c r="A109" s="207"/>
      <c r="B109" s="223"/>
      <c r="C109" s="23" t="s">
        <v>376</v>
      </c>
      <c r="D109" s="191" t="s">
        <v>21</v>
      </c>
      <c r="E109" s="21"/>
      <c r="F109" s="150">
        <v>100</v>
      </c>
      <c r="G109" s="21" t="s">
        <v>369</v>
      </c>
      <c r="H109" s="21"/>
      <c r="I109" s="214"/>
      <c r="J109" s="223"/>
      <c r="K109" s="21" t="s">
        <v>377</v>
      </c>
      <c r="L109" s="21"/>
      <c r="M109" s="21"/>
      <c r="N109" s="191" t="s">
        <v>25</v>
      </c>
      <c r="O109" s="22"/>
      <c r="P109" s="136">
        <f>SUM(F114,F116)</f>
        <v>3.2834000000000002E-2</v>
      </c>
      <c r="Q109" s="21"/>
      <c r="R109" s="21"/>
      <c r="S109" s="21"/>
      <c r="T109" s="191"/>
      <c r="U109" s="21"/>
      <c r="V109" s="289"/>
      <c r="W109" s="21"/>
      <c r="X109" s="21"/>
      <c r="Y109" s="23"/>
      <c r="Z109" s="23"/>
      <c r="AA109" s="24"/>
      <c r="AB109" s="24"/>
      <c r="AC109" s="24"/>
      <c r="AD109" s="24"/>
      <c r="AE109" s="24"/>
      <c r="AF109" s="24"/>
      <c r="AG109" s="24"/>
      <c r="AH109" s="24"/>
      <c r="AI109" s="24"/>
      <c r="AJ109" s="24"/>
      <c r="AK109" s="24"/>
      <c r="AL109" s="24"/>
      <c r="AO109" s="26"/>
      <c r="AQ109" s="24"/>
      <c r="AR109" s="24"/>
      <c r="AS109" s="24"/>
      <c r="AT109" s="24"/>
      <c r="AU109" s="24"/>
      <c r="AV109" s="24"/>
      <c r="AW109" s="24"/>
      <c r="AX109" s="24"/>
      <c r="AY109" s="24"/>
      <c r="AZ109" s="24"/>
      <c r="BA109" s="24"/>
      <c r="BB109" s="24"/>
      <c r="BC109" s="24"/>
      <c r="BD109" s="24"/>
      <c r="BE109" s="24"/>
      <c r="BF109" s="22"/>
      <c r="BG109" s="26"/>
      <c r="BH109" s="22"/>
      <c r="BI109" s="24"/>
      <c r="BJ109" s="24"/>
      <c r="BK109" s="24"/>
      <c r="BL109" s="24"/>
      <c r="BM109" s="24"/>
      <c r="BN109" s="24"/>
      <c r="BO109" s="24"/>
      <c r="BP109" s="24"/>
      <c r="BQ109" s="24"/>
      <c r="BR109" s="24"/>
      <c r="BS109" s="24"/>
      <c r="BT109" s="24"/>
      <c r="BU109" s="24"/>
      <c r="BV109" s="24"/>
      <c r="BW109" s="24"/>
      <c r="BX109" s="24"/>
      <c r="BY109" s="24"/>
      <c r="BZ109" s="24"/>
      <c r="CA109" s="24"/>
      <c r="CB109" s="22"/>
      <c r="CC109" s="24"/>
      <c r="CD109" s="24"/>
      <c r="CE109" s="24"/>
      <c r="CF109" s="24"/>
      <c r="CG109" s="24"/>
      <c r="CH109" s="22"/>
      <c r="CI109" s="24"/>
      <c r="CJ109" s="24"/>
      <c r="CK109" s="22"/>
      <c r="CL109" s="22"/>
      <c r="CM109" s="22"/>
      <c r="CN109" s="22"/>
      <c r="CO109" s="22"/>
      <c r="CP109" s="21"/>
      <c r="CQ109" s="21"/>
      <c r="CR109" s="21"/>
      <c r="CS109" s="21"/>
      <c r="CT109" s="21"/>
      <c r="CU109" s="21"/>
      <c r="CV109" s="21"/>
      <c r="CW109" s="21"/>
      <c r="CX109" s="21"/>
      <c r="CY109" s="21"/>
      <c r="CZ109" s="21"/>
      <c r="DA109" s="21"/>
    </row>
    <row r="110" spans="1:105" s="25" customFormat="1" ht="15.75" customHeight="1" x14ac:dyDescent="0.45">
      <c r="A110" s="207"/>
      <c r="B110" s="223"/>
      <c r="C110" s="23" t="s">
        <v>378</v>
      </c>
      <c r="D110" s="191" t="s">
        <v>21</v>
      </c>
      <c r="E110" s="21"/>
      <c r="F110" s="150">
        <v>0</v>
      </c>
      <c r="G110" s="21" t="s">
        <v>369</v>
      </c>
      <c r="H110" s="21"/>
      <c r="I110" s="214"/>
      <c r="J110" s="223"/>
      <c r="K110" s="21"/>
      <c r="L110" s="21"/>
      <c r="M110" s="21"/>
      <c r="N110" s="191"/>
      <c r="O110" s="22"/>
      <c r="P110" s="253"/>
      <c r="Q110" s="21"/>
      <c r="R110" s="21"/>
      <c r="S110" s="21"/>
      <c r="T110" s="191"/>
      <c r="U110" s="21"/>
      <c r="V110" s="289"/>
      <c r="W110" s="21"/>
      <c r="X110" s="21"/>
      <c r="Y110" s="23"/>
      <c r="Z110" s="23"/>
      <c r="AA110" s="24"/>
      <c r="AB110" s="24"/>
      <c r="AC110" s="24"/>
      <c r="AD110" s="24"/>
      <c r="AE110" s="24"/>
      <c r="AF110" s="24"/>
      <c r="AG110" s="24"/>
      <c r="AH110" s="24"/>
      <c r="AI110" s="24"/>
      <c r="AJ110" s="24"/>
      <c r="AK110" s="24"/>
      <c r="AL110" s="24"/>
      <c r="AO110" s="26"/>
      <c r="AQ110" s="24"/>
      <c r="AR110" s="24"/>
      <c r="AS110" s="24"/>
      <c r="AT110" s="24"/>
      <c r="AU110" s="24"/>
      <c r="AV110" s="24"/>
      <c r="AW110" s="24"/>
      <c r="AX110" s="24"/>
      <c r="AY110" s="24"/>
      <c r="AZ110" s="24"/>
      <c r="BA110" s="24"/>
      <c r="BB110" s="24"/>
      <c r="BC110" s="24"/>
      <c r="BD110" s="24"/>
      <c r="BE110" s="24"/>
      <c r="BF110" s="22"/>
      <c r="BG110" s="26"/>
      <c r="BH110" s="22"/>
      <c r="BI110" s="24"/>
      <c r="BJ110" s="24"/>
      <c r="BK110" s="24"/>
      <c r="BL110" s="24"/>
      <c r="BM110" s="24"/>
      <c r="BN110" s="24"/>
      <c r="BO110" s="24"/>
      <c r="BP110" s="24"/>
      <c r="BQ110" s="24"/>
      <c r="BR110" s="24"/>
      <c r="BS110" s="24"/>
      <c r="BT110" s="24"/>
      <c r="BU110" s="24"/>
      <c r="BV110" s="24"/>
      <c r="BW110" s="24"/>
      <c r="BX110" s="24"/>
      <c r="BY110" s="24"/>
      <c r="BZ110" s="24"/>
      <c r="CA110" s="24"/>
      <c r="CB110" s="22"/>
      <c r="CC110" s="24"/>
      <c r="CD110" s="24"/>
      <c r="CE110" s="24"/>
      <c r="CF110" s="24"/>
      <c r="CG110" s="24"/>
      <c r="CH110" s="22"/>
      <c r="CI110" s="24"/>
      <c r="CJ110" s="24"/>
      <c r="CK110" s="22"/>
      <c r="CL110" s="22"/>
      <c r="CM110" s="22"/>
      <c r="CN110" s="22"/>
      <c r="CO110" s="22"/>
      <c r="CP110" s="21"/>
      <c r="CQ110" s="21"/>
      <c r="CR110" s="21"/>
      <c r="CS110" s="21"/>
      <c r="CT110" s="21"/>
      <c r="CU110" s="21"/>
      <c r="CV110" s="21"/>
      <c r="CW110" s="21"/>
      <c r="CX110" s="21"/>
      <c r="CY110" s="21"/>
      <c r="CZ110" s="21"/>
      <c r="DA110" s="21"/>
    </row>
    <row r="111" spans="1:105" s="25" customFormat="1" ht="15.75" customHeight="1" x14ac:dyDescent="0.55000000000000004">
      <c r="A111" s="21"/>
      <c r="B111" s="21"/>
      <c r="C111" s="21"/>
      <c r="D111" s="21"/>
      <c r="E111" s="21"/>
      <c r="F111" s="21"/>
      <c r="G111" s="21"/>
      <c r="H111" s="21"/>
      <c r="I111" s="214"/>
      <c r="J111" s="223"/>
      <c r="K111" s="250"/>
      <c r="L111" s="250"/>
      <c r="M111" s="250"/>
      <c r="N111" s="250"/>
      <c r="O111" s="250"/>
      <c r="P111" s="250"/>
      <c r="Q111" s="21"/>
      <c r="R111" s="21"/>
      <c r="S111" s="21"/>
      <c r="T111" s="191"/>
      <c r="U111" s="21"/>
      <c r="V111" s="289"/>
      <c r="W111" s="21"/>
      <c r="X111" s="21"/>
      <c r="Y111" s="23"/>
      <c r="Z111" s="23"/>
      <c r="AA111" s="24"/>
      <c r="AB111" s="24"/>
      <c r="AC111" s="24"/>
      <c r="AD111" s="24"/>
      <c r="AE111" s="24"/>
      <c r="AF111" s="24"/>
      <c r="AG111" s="24"/>
      <c r="AH111" s="24"/>
      <c r="AI111" s="24"/>
      <c r="AJ111" s="24"/>
      <c r="AK111" s="24"/>
      <c r="AL111" s="24"/>
      <c r="AO111" s="26"/>
      <c r="AQ111" s="24"/>
      <c r="AR111" s="24"/>
      <c r="AS111" s="24"/>
      <c r="AT111" s="24"/>
      <c r="AU111" s="24"/>
      <c r="AV111" s="24"/>
      <c r="AW111" s="24"/>
      <c r="AX111" s="24"/>
      <c r="AY111" s="24"/>
      <c r="AZ111" s="24"/>
      <c r="BA111" s="24"/>
      <c r="BB111" s="24"/>
      <c r="BC111" s="24"/>
      <c r="BD111" s="24"/>
      <c r="BE111" s="24"/>
      <c r="BF111" s="22"/>
      <c r="BG111" s="26"/>
      <c r="BH111" s="22"/>
      <c r="BI111" s="24"/>
      <c r="BJ111" s="24"/>
      <c r="BK111" s="24"/>
      <c r="BL111" s="24"/>
      <c r="BM111" s="24"/>
      <c r="BN111" s="24"/>
      <c r="BO111" s="24"/>
      <c r="BP111" s="24"/>
      <c r="BQ111" s="24"/>
      <c r="BR111" s="24"/>
      <c r="BS111" s="24"/>
      <c r="BT111" s="24"/>
      <c r="BU111" s="24"/>
      <c r="BV111" s="24"/>
      <c r="BW111" s="24"/>
      <c r="BX111" s="24"/>
      <c r="BY111" s="24"/>
      <c r="BZ111" s="24"/>
      <c r="CA111" s="24"/>
      <c r="CB111" s="22"/>
      <c r="CC111" s="24"/>
      <c r="CD111" s="24"/>
      <c r="CE111" s="24"/>
      <c r="CF111" s="24"/>
      <c r="CG111" s="24"/>
      <c r="CH111" s="22"/>
      <c r="CI111" s="24"/>
      <c r="CJ111" s="24"/>
      <c r="CK111" s="22"/>
      <c r="CL111" s="22"/>
      <c r="CM111" s="22"/>
      <c r="CN111" s="22"/>
      <c r="CO111" s="22"/>
      <c r="CP111" s="21"/>
      <c r="CQ111" s="21"/>
      <c r="CR111" s="21"/>
      <c r="CS111" s="21"/>
      <c r="CT111" s="21"/>
      <c r="CU111" s="21"/>
      <c r="CV111" s="21"/>
      <c r="CW111" s="21"/>
      <c r="CX111" s="21"/>
      <c r="CY111" s="21"/>
      <c r="CZ111" s="21"/>
      <c r="DA111" s="21"/>
    </row>
    <row r="112" spans="1:105" s="25" customFormat="1" ht="15.75" customHeight="1" x14ac:dyDescent="0.45">
      <c r="A112" s="21"/>
      <c r="B112" s="21"/>
      <c r="C112" s="21" t="s">
        <v>379</v>
      </c>
      <c r="D112" s="191" t="s">
        <v>25</v>
      </c>
      <c r="E112" s="21"/>
      <c r="F112" s="157">
        <v>0.5</v>
      </c>
      <c r="G112" s="21"/>
      <c r="H112" s="21"/>
      <c r="I112" s="214"/>
      <c r="J112" s="223"/>
      <c r="K112" s="21" t="s">
        <v>380</v>
      </c>
      <c r="L112" s="21"/>
      <c r="M112" s="21"/>
      <c r="N112" s="191" t="s">
        <v>21</v>
      </c>
      <c r="O112" s="21"/>
      <c r="P112" s="143">
        <f>SUM(F105:F110)-P105</f>
        <v>393</v>
      </c>
      <c r="Q112" s="21"/>
      <c r="R112" s="21"/>
      <c r="S112" s="21"/>
      <c r="T112" s="191"/>
      <c r="U112" s="21"/>
      <c r="V112" s="289"/>
      <c r="W112" s="21"/>
      <c r="X112" s="21"/>
      <c r="Y112" s="23"/>
      <c r="Z112" s="23"/>
      <c r="AA112" s="24"/>
      <c r="AB112" s="24"/>
      <c r="AC112" s="24"/>
      <c r="AD112" s="24"/>
      <c r="AE112" s="24"/>
      <c r="AF112" s="24"/>
      <c r="AG112" s="24"/>
      <c r="AH112" s="24"/>
      <c r="AI112" s="24"/>
      <c r="AJ112" s="24"/>
      <c r="AK112" s="24"/>
      <c r="AL112" s="24"/>
      <c r="AO112" s="26"/>
      <c r="AQ112" s="24"/>
      <c r="AR112" s="24"/>
      <c r="AS112" s="24"/>
      <c r="AT112" s="24"/>
      <c r="AU112" s="24"/>
      <c r="AV112" s="24"/>
      <c r="AW112" s="24"/>
      <c r="AX112" s="24"/>
      <c r="AY112" s="24"/>
      <c r="AZ112" s="24"/>
      <c r="BA112" s="24"/>
      <c r="BB112" s="24"/>
      <c r="BC112" s="24"/>
      <c r="BD112" s="24"/>
      <c r="BE112" s="24"/>
      <c r="BF112" s="22"/>
      <c r="BG112" s="26"/>
      <c r="BH112" s="22"/>
      <c r="BI112" s="24"/>
      <c r="BJ112" s="24"/>
      <c r="BK112" s="24"/>
      <c r="BL112" s="24"/>
      <c r="BM112" s="24"/>
      <c r="BN112" s="24"/>
      <c r="BO112" s="24"/>
      <c r="BP112" s="24"/>
      <c r="BQ112" s="24"/>
      <c r="BR112" s="24"/>
      <c r="BS112" s="24"/>
      <c r="BT112" s="24"/>
      <c r="BU112" s="24"/>
      <c r="BV112" s="24"/>
      <c r="BW112" s="24"/>
      <c r="BX112" s="24"/>
      <c r="BY112" s="24"/>
      <c r="BZ112" s="24"/>
      <c r="CA112" s="24"/>
      <c r="CB112" s="22"/>
      <c r="CC112" s="24"/>
      <c r="CD112" s="24"/>
      <c r="CE112" s="24"/>
      <c r="CF112" s="24"/>
      <c r="CG112" s="24"/>
      <c r="CH112" s="22"/>
      <c r="CI112" s="24"/>
      <c r="CJ112" s="24"/>
      <c r="CK112" s="22"/>
      <c r="CL112" s="22"/>
      <c r="CM112" s="22"/>
      <c r="CN112" s="22"/>
      <c r="CO112" s="22"/>
      <c r="CP112" s="21"/>
      <c r="CQ112" s="21"/>
      <c r="CR112" s="21"/>
      <c r="CS112" s="21"/>
      <c r="CT112" s="21"/>
      <c r="CU112" s="21"/>
      <c r="CV112" s="21"/>
      <c r="CW112" s="21"/>
      <c r="CX112" s="21"/>
      <c r="CY112" s="21"/>
      <c r="CZ112" s="21"/>
      <c r="DA112" s="21"/>
    </row>
    <row r="113" spans="1:105" s="25" customFormat="1" ht="15.75" customHeight="1" x14ac:dyDescent="0.55000000000000004">
      <c r="A113" s="207"/>
      <c r="B113" s="223"/>
      <c r="G113" s="21"/>
      <c r="H113" s="21"/>
      <c r="I113" s="214"/>
      <c r="J113" s="223"/>
      <c r="K113" s="21"/>
      <c r="L113" s="21"/>
      <c r="M113" s="21"/>
      <c r="N113" s="21"/>
      <c r="O113" s="21"/>
      <c r="P113" s="21"/>
      <c r="Q113" s="21"/>
      <c r="R113" s="21"/>
      <c r="S113" s="21"/>
      <c r="T113" s="191"/>
      <c r="U113" s="21"/>
      <c r="V113" s="289"/>
      <c r="W113" s="21"/>
      <c r="X113" s="21"/>
      <c r="Y113" s="23"/>
      <c r="Z113" s="23"/>
      <c r="AA113" s="24"/>
      <c r="AB113" s="24"/>
      <c r="AC113" s="24"/>
      <c r="AD113" s="24"/>
      <c r="AE113" s="24"/>
      <c r="AF113" s="24"/>
      <c r="AG113" s="24"/>
      <c r="AH113" s="24"/>
      <c r="AI113" s="24"/>
      <c r="AJ113" s="24"/>
      <c r="AK113" s="24"/>
      <c r="AL113" s="24"/>
      <c r="AO113" s="26"/>
      <c r="AQ113" s="24"/>
      <c r="AR113" s="24"/>
      <c r="AS113" s="24"/>
      <c r="AT113" s="24"/>
      <c r="AU113" s="24"/>
      <c r="AV113" s="24"/>
      <c r="AW113" s="24"/>
      <c r="AX113" s="24"/>
      <c r="AY113" s="24"/>
      <c r="AZ113" s="24"/>
      <c r="BA113" s="24"/>
      <c r="BB113" s="24"/>
      <c r="BC113" s="24"/>
      <c r="BD113" s="24"/>
      <c r="BE113" s="24"/>
      <c r="BF113" s="22"/>
      <c r="BG113" s="26"/>
      <c r="BH113" s="22"/>
      <c r="BI113" s="24"/>
      <c r="BJ113" s="24"/>
      <c r="BK113" s="24"/>
      <c r="BL113" s="24"/>
      <c r="BM113" s="24"/>
      <c r="BN113" s="24"/>
      <c r="BO113" s="24"/>
      <c r="BP113" s="24"/>
      <c r="BQ113" s="24"/>
      <c r="BR113" s="24"/>
      <c r="BS113" s="24"/>
      <c r="BT113" s="24"/>
      <c r="BU113" s="24"/>
      <c r="BV113" s="24"/>
      <c r="BW113" s="24"/>
      <c r="BX113" s="24"/>
      <c r="BY113" s="24"/>
      <c r="BZ113" s="24"/>
      <c r="CA113" s="24"/>
      <c r="CB113" s="22"/>
      <c r="CC113" s="24"/>
      <c r="CD113" s="24"/>
      <c r="CE113" s="24"/>
      <c r="CF113" s="24"/>
      <c r="CG113" s="24"/>
      <c r="CH113" s="22"/>
      <c r="CI113" s="24"/>
      <c r="CJ113" s="24"/>
      <c r="CK113" s="22"/>
      <c r="CL113" s="22"/>
      <c r="CM113" s="22"/>
      <c r="CN113" s="22"/>
      <c r="CO113" s="22"/>
      <c r="CP113" s="21"/>
      <c r="CQ113" s="21"/>
      <c r="CR113" s="21"/>
      <c r="CS113" s="21"/>
      <c r="CT113" s="21"/>
      <c r="CU113" s="21"/>
      <c r="CV113" s="21"/>
      <c r="CW113" s="21"/>
      <c r="CX113" s="21"/>
      <c r="CY113" s="21"/>
      <c r="CZ113" s="21"/>
      <c r="DA113" s="21"/>
    </row>
    <row r="114" spans="1:105" s="25" customFormat="1" ht="15.75" customHeight="1" x14ac:dyDescent="0.45">
      <c r="A114" s="207"/>
      <c r="B114" s="223"/>
      <c r="C114" s="21" t="s">
        <v>164</v>
      </c>
      <c r="D114" s="191" t="s">
        <v>25</v>
      </c>
      <c r="E114" s="21"/>
      <c r="F114" s="153">
        <v>1.7833999999999999E-2</v>
      </c>
      <c r="G114" s="21"/>
      <c r="H114" s="21"/>
      <c r="I114" s="214"/>
      <c r="J114" s="223"/>
      <c r="K114" s="21"/>
      <c r="L114" s="21"/>
      <c r="M114" s="21"/>
      <c r="N114" s="191"/>
      <c r="O114" s="22"/>
      <c r="P114" s="22"/>
      <c r="Q114" s="21"/>
      <c r="S114" s="35"/>
      <c r="T114" s="193"/>
      <c r="U114" s="21"/>
      <c r="V114" s="289"/>
      <c r="W114" s="21"/>
      <c r="X114" s="21"/>
      <c r="Y114" s="23"/>
      <c r="Z114" s="23"/>
      <c r="AA114" s="24"/>
      <c r="AB114" s="24"/>
      <c r="AC114" s="24"/>
      <c r="AD114" s="24"/>
      <c r="AE114" s="24"/>
      <c r="AF114" s="24"/>
      <c r="AG114" s="24"/>
      <c r="AH114" s="24"/>
      <c r="AI114" s="24"/>
      <c r="AJ114" s="24"/>
      <c r="AK114" s="24"/>
      <c r="AL114" s="24"/>
      <c r="AO114" s="26"/>
      <c r="AQ114" s="24"/>
      <c r="AR114" s="24"/>
      <c r="AS114" s="24"/>
      <c r="AT114" s="24"/>
      <c r="AU114" s="24"/>
      <c r="AV114" s="24"/>
      <c r="AW114" s="24"/>
      <c r="AX114" s="24"/>
      <c r="AY114" s="24"/>
      <c r="AZ114" s="24"/>
      <c r="BA114" s="24"/>
      <c r="BB114" s="24"/>
      <c r="BC114" s="24"/>
      <c r="BD114" s="24"/>
      <c r="BE114" s="24"/>
      <c r="BF114" s="22"/>
      <c r="BG114" s="26"/>
      <c r="BH114" s="22"/>
      <c r="BI114" s="24"/>
      <c r="BJ114" s="24"/>
      <c r="BK114" s="24"/>
      <c r="BL114" s="24"/>
      <c r="BM114" s="24"/>
      <c r="BN114" s="24"/>
      <c r="BO114" s="24"/>
      <c r="BP114" s="24"/>
      <c r="BQ114" s="24"/>
      <c r="BR114" s="24"/>
      <c r="BS114" s="24"/>
      <c r="BT114" s="24"/>
      <c r="BU114" s="24"/>
      <c r="BV114" s="24"/>
      <c r="BW114" s="24"/>
      <c r="BX114" s="24"/>
      <c r="BY114" s="24"/>
      <c r="BZ114" s="24"/>
      <c r="CA114" s="24"/>
      <c r="CB114" s="22"/>
      <c r="CC114" s="24"/>
      <c r="CD114" s="24"/>
      <c r="CE114" s="24"/>
      <c r="CF114" s="24"/>
      <c r="CG114" s="24"/>
      <c r="CH114" s="22"/>
      <c r="CI114" s="24"/>
      <c r="CJ114" s="24"/>
      <c r="CK114" s="22"/>
      <c r="CL114" s="22"/>
      <c r="CM114" s="22"/>
      <c r="CN114" s="22"/>
      <c r="CO114" s="22"/>
      <c r="CP114" s="21"/>
      <c r="CQ114" s="21"/>
      <c r="CR114" s="21"/>
      <c r="CS114" s="21"/>
      <c r="CT114" s="21"/>
      <c r="CU114" s="21"/>
      <c r="CV114" s="21"/>
      <c r="CW114" s="21"/>
      <c r="CX114" s="21"/>
      <c r="CY114" s="21"/>
      <c r="CZ114" s="21"/>
      <c r="DA114" s="21"/>
    </row>
    <row r="115" spans="1:105" s="25" customFormat="1" ht="15.75" customHeight="1" x14ac:dyDescent="0.45">
      <c r="A115" s="207"/>
      <c r="B115" s="223"/>
      <c r="C115" s="21" t="s">
        <v>381</v>
      </c>
      <c r="D115" s="191" t="s">
        <v>25</v>
      </c>
      <c r="E115" s="21"/>
      <c r="F115" s="164">
        <v>0.01</v>
      </c>
      <c r="G115" s="21"/>
      <c r="H115" s="21"/>
      <c r="I115" s="214"/>
      <c r="J115" s="223"/>
      <c r="K115" s="21"/>
      <c r="L115" s="21"/>
      <c r="M115" s="21"/>
      <c r="N115" s="191"/>
      <c r="O115" s="22"/>
      <c r="P115" s="22"/>
      <c r="Q115" s="21"/>
      <c r="S115" s="35"/>
      <c r="T115" s="193"/>
      <c r="U115" s="21"/>
      <c r="V115" s="289"/>
      <c r="W115" s="21"/>
      <c r="X115" s="21"/>
      <c r="Y115" s="23"/>
      <c r="Z115" s="23"/>
      <c r="AA115" s="24"/>
      <c r="AB115" s="24"/>
      <c r="AC115" s="24"/>
      <c r="AD115" s="24"/>
      <c r="AE115" s="24"/>
      <c r="AF115" s="24"/>
      <c r="AG115" s="24"/>
      <c r="AH115" s="24"/>
      <c r="AI115" s="24"/>
      <c r="AJ115" s="24"/>
      <c r="AK115" s="24"/>
      <c r="AL115" s="24"/>
      <c r="AO115" s="26"/>
      <c r="AQ115" s="24"/>
      <c r="AR115" s="24"/>
      <c r="AS115" s="24"/>
      <c r="AT115" s="24"/>
      <c r="AU115" s="24"/>
      <c r="AV115" s="24"/>
      <c r="AW115" s="24"/>
      <c r="AX115" s="24"/>
      <c r="AY115" s="24"/>
      <c r="AZ115" s="24"/>
      <c r="BA115" s="24"/>
      <c r="BB115" s="24"/>
      <c r="BC115" s="24"/>
      <c r="BD115" s="24"/>
      <c r="BE115" s="24"/>
      <c r="BF115" s="22"/>
      <c r="BG115" s="26"/>
      <c r="BH115" s="22"/>
      <c r="BI115" s="24"/>
      <c r="BJ115" s="24"/>
      <c r="BK115" s="24"/>
      <c r="BL115" s="24"/>
      <c r="BM115" s="24"/>
      <c r="BN115" s="24"/>
      <c r="BO115" s="24"/>
      <c r="BP115" s="24"/>
      <c r="BQ115" s="24"/>
      <c r="BR115" s="24"/>
      <c r="BS115" s="24"/>
      <c r="BT115" s="24"/>
      <c r="BU115" s="24"/>
      <c r="BV115" s="24"/>
      <c r="BW115" s="24"/>
      <c r="BX115" s="24"/>
      <c r="BY115" s="24"/>
      <c r="BZ115" s="24"/>
      <c r="CA115" s="24"/>
      <c r="CB115" s="22"/>
      <c r="CC115" s="24"/>
      <c r="CD115" s="24"/>
      <c r="CE115" s="24"/>
      <c r="CF115" s="24"/>
      <c r="CG115" s="24"/>
      <c r="CH115" s="22"/>
      <c r="CI115" s="24"/>
      <c r="CJ115" s="24"/>
      <c r="CK115" s="22"/>
      <c r="CL115" s="22"/>
      <c r="CM115" s="22"/>
      <c r="CN115" s="22"/>
      <c r="CO115" s="22"/>
      <c r="CP115" s="21"/>
      <c r="CQ115" s="21"/>
      <c r="CR115" s="21"/>
      <c r="CS115" s="21"/>
      <c r="CT115" s="21"/>
      <c r="CU115" s="21"/>
      <c r="CV115" s="21"/>
      <c r="CW115" s="21"/>
      <c r="CX115" s="21"/>
      <c r="CY115" s="21"/>
      <c r="CZ115" s="21"/>
      <c r="DA115" s="21"/>
    </row>
    <row r="116" spans="1:105" s="25" customFormat="1" ht="15.75" customHeight="1" x14ac:dyDescent="0.45">
      <c r="A116" s="21"/>
      <c r="B116" s="229"/>
      <c r="C116" s="21" t="s">
        <v>382</v>
      </c>
      <c r="D116" s="191" t="s">
        <v>25</v>
      </c>
      <c r="E116" s="21"/>
      <c r="F116" s="164">
        <v>1.4999999999999999E-2</v>
      </c>
      <c r="G116" s="21"/>
      <c r="H116" s="21"/>
      <c r="I116" s="214"/>
      <c r="J116" s="223"/>
      <c r="K116" s="21"/>
      <c r="L116" s="21"/>
      <c r="M116" s="21"/>
      <c r="N116" s="191"/>
      <c r="O116" s="22"/>
      <c r="P116" s="22"/>
      <c r="Q116" s="21"/>
      <c r="S116" s="35"/>
      <c r="T116" s="193"/>
      <c r="U116" s="21"/>
      <c r="V116" s="289"/>
      <c r="W116" s="21"/>
      <c r="X116" s="21"/>
      <c r="Y116" s="23"/>
      <c r="Z116" s="23"/>
      <c r="AA116" s="24"/>
      <c r="AB116" s="24"/>
      <c r="AC116" s="24"/>
      <c r="AD116" s="24"/>
      <c r="AE116" s="24"/>
      <c r="AF116" s="24"/>
      <c r="AG116" s="24"/>
      <c r="AH116" s="24"/>
      <c r="AI116" s="24"/>
      <c r="AJ116" s="24"/>
      <c r="AK116" s="24"/>
      <c r="AL116" s="24"/>
      <c r="AO116" s="26"/>
      <c r="AQ116" s="24"/>
      <c r="AR116" s="24"/>
      <c r="AS116" s="24"/>
      <c r="AT116" s="24"/>
      <c r="AU116" s="24"/>
      <c r="AV116" s="24"/>
      <c r="AW116" s="24"/>
      <c r="AX116" s="24"/>
      <c r="AY116" s="24"/>
      <c r="AZ116" s="24"/>
      <c r="BA116" s="24"/>
      <c r="BB116" s="24"/>
      <c r="BC116" s="24"/>
      <c r="BD116" s="24"/>
      <c r="BE116" s="24"/>
      <c r="BF116" s="22"/>
      <c r="BG116" s="26"/>
      <c r="BH116" s="22"/>
      <c r="BI116" s="24"/>
      <c r="BJ116" s="24"/>
      <c r="BK116" s="24"/>
      <c r="BL116" s="24"/>
      <c r="BM116" s="24"/>
      <c r="BN116" s="24"/>
      <c r="BO116" s="24"/>
      <c r="BP116" s="24"/>
      <c r="BQ116" s="24"/>
      <c r="BR116" s="24"/>
      <c r="BS116" s="24"/>
      <c r="BT116" s="24"/>
      <c r="BU116" s="24"/>
      <c r="BV116" s="24"/>
      <c r="BW116" s="24"/>
      <c r="BX116" s="24"/>
      <c r="BY116" s="24"/>
      <c r="BZ116" s="24"/>
      <c r="CA116" s="24"/>
      <c r="CB116" s="22"/>
      <c r="CC116" s="24"/>
      <c r="CD116" s="24"/>
      <c r="CE116" s="24"/>
      <c r="CF116" s="24"/>
      <c r="CG116" s="24"/>
      <c r="CH116" s="22"/>
      <c r="CI116" s="24"/>
      <c r="CJ116" s="24"/>
      <c r="CK116" s="22"/>
      <c r="CL116" s="22"/>
      <c r="CM116" s="22"/>
      <c r="CN116" s="22"/>
      <c r="CO116" s="22"/>
      <c r="CP116" s="21"/>
      <c r="CQ116" s="21"/>
      <c r="CR116" s="21"/>
      <c r="CS116" s="21"/>
      <c r="CT116" s="21"/>
      <c r="CU116" s="21"/>
      <c r="CV116" s="21"/>
      <c r="CW116" s="21"/>
      <c r="CX116" s="21"/>
      <c r="CY116" s="21"/>
      <c r="CZ116" s="21"/>
      <c r="DA116" s="21"/>
    </row>
    <row r="117" spans="1:105" s="25" customFormat="1" ht="15.75" customHeight="1" x14ac:dyDescent="0.55000000000000004">
      <c r="A117" s="207"/>
      <c r="B117" s="223"/>
      <c r="C117" s="119"/>
      <c r="D117" s="191"/>
      <c r="E117" s="21"/>
      <c r="F117" s="21"/>
      <c r="G117" s="21"/>
      <c r="H117" s="21"/>
      <c r="I117" s="214"/>
      <c r="J117" s="223"/>
      <c r="K117" s="21"/>
      <c r="L117" s="21"/>
      <c r="M117" s="21"/>
      <c r="N117" s="191"/>
      <c r="O117" s="22"/>
      <c r="P117" s="22"/>
      <c r="Q117" s="21"/>
      <c r="S117" s="35"/>
      <c r="T117" s="193"/>
      <c r="U117" s="21"/>
      <c r="V117" s="289"/>
      <c r="W117" s="21"/>
      <c r="X117" s="21"/>
      <c r="Y117" s="23"/>
      <c r="Z117" s="23"/>
      <c r="AA117" s="24"/>
      <c r="AB117" s="24"/>
      <c r="AC117" s="24"/>
      <c r="AD117" s="24"/>
      <c r="AE117" s="24"/>
      <c r="AF117" s="24"/>
      <c r="AG117" s="24"/>
      <c r="AH117" s="24"/>
      <c r="AI117" s="24"/>
      <c r="AJ117" s="24"/>
      <c r="AK117" s="24"/>
      <c r="AL117" s="24"/>
      <c r="AO117" s="26"/>
      <c r="AQ117" s="24"/>
      <c r="AR117" s="24"/>
      <c r="AS117" s="24"/>
      <c r="AT117" s="24"/>
      <c r="AU117" s="24"/>
      <c r="AV117" s="24"/>
      <c r="AW117" s="24"/>
      <c r="AX117" s="24"/>
      <c r="AY117" s="24"/>
      <c r="AZ117" s="24"/>
      <c r="BA117" s="24"/>
      <c r="BB117" s="24"/>
      <c r="BC117" s="24"/>
      <c r="BD117" s="24"/>
      <c r="BE117" s="24"/>
      <c r="BF117" s="22"/>
      <c r="BG117" s="26"/>
      <c r="BH117" s="22"/>
      <c r="BI117" s="24"/>
      <c r="BJ117" s="24"/>
      <c r="BK117" s="24"/>
      <c r="BL117" s="24"/>
      <c r="BM117" s="24"/>
      <c r="BN117" s="24"/>
      <c r="BO117" s="24"/>
      <c r="BP117" s="24"/>
      <c r="BQ117" s="24"/>
      <c r="BR117" s="24"/>
      <c r="BS117" s="24"/>
      <c r="BT117" s="24"/>
      <c r="BU117" s="24"/>
      <c r="BV117" s="24"/>
      <c r="BW117" s="24"/>
      <c r="BX117" s="24"/>
      <c r="BY117" s="24"/>
      <c r="BZ117" s="24"/>
      <c r="CA117" s="24"/>
      <c r="CB117" s="22"/>
      <c r="CC117" s="24"/>
      <c r="CD117" s="24"/>
      <c r="CE117" s="24"/>
      <c r="CF117" s="24"/>
      <c r="CG117" s="24"/>
      <c r="CH117" s="22"/>
      <c r="CI117" s="24"/>
      <c r="CJ117" s="24"/>
      <c r="CK117" s="22"/>
      <c r="CL117" s="22"/>
      <c r="CM117" s="22"/>
      <c r="CN117" s="22"/>
      <c r="CO117" s="22"/>
      <c r="CP117" s="21"/>
      <c r="CQ117" s="21"/>
      <c r="CR117" s="21"/>
      <c r="CS117" s="21"/>
      <c r="CT117" s="21"/>
      <c r="CU117" s="21"/>
      <c r="CV117" s="21"/>
      <c r="CW117" s="21"/>
      <c r="CX117" s="21"/>
      <c r="CY117" s="21"/>
      <c r="CZ117" s="21"/>
      <c r="DA117" s="21"/>
    </row>
    <row r="118" spans="1:105" s="25" customFormat="1" ht="15.75" customHeight="1" x14ac:dyDescent="0.55000000000000004">
      <c r="A118" s="207"/>
      <c r="B118" s="223"/>
      <c r="C118" s="119"/>
      <c r="D118" s="191"/>
      <c r="E118" s="21"/>
      <c r="F118" s="21"/>
      <c r="G118" s="21"/>
      <c r="H118" s="21"/>
      <c r="I118" s="214"/>
      <c r="J118" s="223"/>
      <c r="K118" s="21"/>
      <c r="L118" s="21"/>
      <c r="M118" s="21"/>
      <c r="N118" s="191"/>
      <c r="O118" s="22"/>
      <c r="P118" s="22"/>
      <c r="Q118" s="21"/>
      <c r="R118" s="35"/>
      <c r="S118" s="35"/>
      <c r="T118" s="193"/>
      <c r="U118" s="21"/>
      <c r="V118" s="289"/>
      <c r="W118" s="21"/>
      <c r="X118" s="21"/>
      <c r="Y118" s="23"/>
      <c r="Z118" s="23"/>
      <c r="AA118" s="24"/>
      <c r="AB118" s="24"/>
      <c r="AC118" s="24"/>
      <c r="AD118" s="24"/>
      <c r="AE118" s="24"/>
      <c r="AF118" s="24"/>
      <c r="AG118" s="24"/>
      <c r="AH118" s="24"/>
      <c r="AI118" s="24"/>
      <c r="AJ118" s="24"/>
      <c r="AK118" s="24"/>
      <c r="AL118" s="24"/>
      <c r="AO118" s="26"/>
      <c r="AQ118" s="24"/>
      <c r="AR118" s="24"/>
      <c r="AS118" s="24"/>
      <c r="AT118" s="24"/>
      <c r="AU118" s="24"/>
      <c r="AV118" s="24"/>
      <c r="AW118" s="24"/>
      <c r="AX118" s="24"/>
      <c r="AY118" s="24"/>
      <c r="AZ118" s="24"/>
      <c r="BA118" s="24"/>
      <c r="BB118" s="24"/>
      <c r="BC118" s="24"/>
      <c r="BD118" s="24"/>
      <c r="BE118" s="24"/>
      <c r="BF118" s="22"/>
      <c r="BG118" s="26"/>
      <c r="BH118" s="22"/>
      <c r="BI118" s="24"/>
      <c r="BJ118" s="24"/>
      <c r="BK118" s="24"/>
      <c r="BL118" s="24"/>
      <c r="BM118" s="24"/>
      <c r="BN118" s="24"/>
      <c r="BO118" s="24"/>
      <c r="BP118" s="24"/>
      <c r="BQ118" s="24"/>
      <c r="BR118" s="24"/>
      <c r="BS118" s="24"/>
      <c r="BT118" s="24"/>
      <c r="BU118" s="24"/>
      <c r="BV118" s="24"/>
      <c r="BW118" s="24"/>
      <c r="BX118" s="24"/>
      <c r="BY118" s="24"/>
      <c r="BZ118" s="24"/>
      <c r="CA118" s="24"/>
      <c r="CB118" s="22"/>
      <c r="CC118" s="24"/>
      <c r="CD118" s="24"/>
      <c r="CE118" s="24"/>
      <c r="CF118" s="24"/>
      <c r="CG118" s="24"/>
      <c r="CH118" s="22"/>
      <c r="CI118" s="24"/>
      <c r="CJ118" s="24"/>
      <c r="CK118" s="22"/>
      <c r="CL118" s="22"/>
      <c r="CM118" s="22"/>
      <c r="CN118" s="22"/>
      <c r="CO118" s="22"/>
      <c r="CP118" s="21"/>
      <c r="CQ118" s="21"/>
      <c r="CR118" s="21"/>
      <c r="CS118" s="21"/>
      <c r="CT118" s="21"/>
      <c r="CU118" s="21"/>
      <c r="CV118" s="21"/>
      <c r="CW118" s="21"/>
      <c r="CX118" s="21"/>
      <c r="CY118" s="21"/>
      <c r="CZ118" s="21"/>
      <c r="DA118" s="21"/>
    </row>
    <row r="119" spans="1:105" ht="15.75" customHeight="1" thickBot="1" x14ac:dyDescent="0.6">
      <c r="A119" s="210" t="s">
        <v>43</v>
      </c>
      <c r="B119" s="225"/>
      <c r="C119" s="202"/>
      <c r="D119" s="203"/>
      <c r="E119" s="202"/>
      <c r="F119" s="202"/>
      <c r="G119" s="202"/>
      <c r="H119" s="202"/>
      <c r="I119" s="217" t="s">
        <v>43</v>
      </c>
      <c r="J119" s="225"/>
      <c r="K119" s="202"/>
      <c r="L119" s="202"/>
      <c r="M119" s="202"/>
      <c r="N119" s="203"/>
      <c r="O119" s="202"/>
      <c r="P119" s="202"/>
      <c r="Q119" s="202"/>
      <c r="R119" s="202"/>
      <c r="S119" s="202"/>
      <c r="T119" s="202"/>
      <c r="U119" s="202"/>
    </row>
    <row r="120" spans="1:105" ht="15.75" customHeight="1" x14ac:dyDescent="0.55000000000000004">
      <c r="A120" s="211"/>
      <c r="N120" s="21"/>
      <c r="T120" s="21"/>
    </row>
    <row r="121" spans="1:105" ht="15.75" customHeight="1" x14ac:dyDescent="0.55000000000000004">
      <c r="B121" s="223" t="s">
        <v>220</v>
      </c>
      <c r="C121" s="25"/>
      <c r="J121" s="223" t="s">
        <v>220</v>
      </c>
      <c r="N121" s="21"/>
      <c r="T121" s="21"/>
    </row>
    <row r="122" spans="1:105" ht="15.75" customHeight="1" x14ac:dyDescent="0.55000000000000004">
      <c r="C122" s="119" t="s">
        <v>221</v>
      </c>
      <c r="F122" s="21" t="s">
        <v>383</v>
      </c>
      <c r="G122" s="223"/>
      <c r="H122" s="223"/>
      <c r="K122" s="21" t="s">
        <v>384</v>
      </c>
      <c r="N122" s="191" t="s">
        <v>21</v>
      </c>
      <c r="O122" s="122"/>
      <c r="P122" s="240">
        <f>F124</f>
        <v>0.18</v>
      </c>
      <c r="T122" s="21"/>
    </row>
    <row r="123" spans="1:105" ht="15.75" customHeight="1" x14ac:dyDescent="0.45">
      <c r="C123" s="21" t="s">
        <v>395</v>
      </c>
      <c r="D123" s="191" t="s">
        <v>25</v>
      </c>
      <c r="F123" s="179">
        <f>ROUND(23.2%/(1+(1.18%+1%*260%)),4)</f>
        <v>0.2235</v>
      </c>
      <c r="O123" s="122"/>
      <c r="T123" s="21"/>
    </row>
    <row r="124" spans="1:105" ht="15.75" customHeight="1" x14ac:dyDescent="0.45">
      <c r="C124" s="21" t="s">
        <v>225</v>
      </c>
      <c r="D124" s="191" t="s">
        <v>21</v>
      </c>
      <c r="F124" s="165">
        <v>0.18</v>
      </c>
      <c r="G124" s="21" t="s">
        <v>227</v>
      </c>
      <c r="N124" s="21"/>
      <c r="T124" s="21"/>
    </row>
    <row r="125" spans="1:105" ht="15.75" customHeight="1" x14ac:dyDescent="0.55000000000000004">
      <c r="C125" s="122"/>
      <c r="D125" s="21"/>
      <c r="N125" s="21"/>
      <c r="T125" s="21"/>
    </row>
    <row r="126" spans="1:105" ht="15.75" customHeight="1" x14ac:dyDescent="0.55000000000000004">
      <c r="B126" s="223" t="s">
        <v>228</v>
      </c>
      <c r="C126" s="250"/>
      <c r="J126" s="223" t="s">
        <v>228</v>
      </c>
      <c r="N126" s="21"/>
      <c r="T126" s="21"/>
    </row>
    <row r="127" spans="1:105" ht="15.75" customHeight="1" x14ac:dyDescent="0.55000000000000004">
      <c r="C127" s="21" t="s">
        <v>229</v>
      </c>
      <c r="K127" s="21" t="s">
        <v>229</v>
      </c>
      <c r="N127" s="191" t="s">
        <v>21</v>
      </c>
      <c r="O127" s="122"/>
      <c r="P127" s="137">
        <f>F128*F129</f>
        <v>0</v>
      </c>
      <c r="R127" s="35"/>
    </row>
    <row r="128" spans="1:105" ht="15.75" customHeight="1" x14ac:dyDescent="0.45">
      <c r="C128" s="122" t="s">
        <v>230</v>
      </c>
      <c r="D128" s="191" t="s">
        <v>21</v>
      </c>
      <c r="F128" s="328">
        <v>0</v>
      </c>
      <c r="K128" s="35"/>
      <c r="L128" s="35"/>
      <c r="M128" s="35"/>
      <c r="N128" s="35"/>
      <c r="O128" s="35"/>
      <c r="P128" s="35"/>
      <c r="Q128" s="35"/>
      <c r="R128" s="35"/>
      <c r="S128" s="35"/>
      <c r="T128" s="193"/>
    </row>
    <row r="129" spans="2:20" ht="15.75" customHeight="1" x14ac:dyDescent="0.45">
      <c r="C129" s="122" t="s">
        <v>224</v>
      </c>
      <c r="D129" s="191" t="s">
        <v>25</v>
      </c>
      <c r="F129" s="179">
        <v>0</v>
      </c>
      <c r="K129" s="21" t="s">
        <v>385</v>
      </c>
      <c r="N129" s="191" t="s">
        <v>21</v>
      </c>
      <c r="O129" s="122"/>
      <c r="P129" s="251">
        <f>P88*F133</f>
        <v>0.55000000000000004</v>
      </c>
      <c r="T129" s="21"/>
    </row>
    <row r="130" spans="2:20" ht="15.75" customHeight="1" x14ac:dyDescent="0.55000000000000004">
      <c r="K130" s="21" t="s">
        <v>386</v>
      </c>
      <c r="N130" s="191" t="s">
        <v>21</v>
      </c>
      <c r="O130" s="122"/>
      <c r="P130" s="251">
        <f>P112*50%*F134</f>
        <v>1.3754999999999999</v>
      </c>
      <c r="T130" s="21"/>
    </row>
    <row r="131" spans="2:20" ht="15.75" customHeight="1" x14ac:dyDescent="0.45">
      <c r="C131" s="21" t="s">
        <v>387</v>
      </c>
      <c r="D131" s="191" t="s">
        <v>25</v>
      </c>
      <c r="F131" s="179">
        <v>1.4E-2</v>
      </c>
      <c r="K131" s="241" t="s">
        <v>233</v>
      </c>
      <c r="L131" s="241"/>
      <c r="M131" s="241"/>
      <c r="N131" s="242" t="s">
        <v>21</v>
      </c>
      <c r="O131" s="281"/>
      <c r="P131" s="282">
        <f>SUM(P129:P130)</f>
        <v>1.9255</v>
      </c>
      <c r="T131" s="21"/>
    </row>
    <row r="132" spans="2:20" ht="15.75" customHeight="1" x14ac:dyDescent="0.55000000000000004">
      <c r="D132" s="21"/>
      <c r="N132" s="119"/>
      <c r="O132" s="122"/>
      <c r="T132" s="21"/>
    </row>
    <row r="133" spans="2:20" ht="15.75" customHeight="1" x14ac:dyDescent="0.45">
      <c r="C133" s="21" t="s">
        <v>388</v>
      </c>
      <c r="D133" s="191" t="s">
        <v>25</v>
      </c>
      <c r="F133" s="249">
        <v>1E-3</v>
      </c>
      <c r="K133" s="21" t="s">
        <v>389</v>
      </c>
      <c r="N133" s="119"/>
      <c r="O133" s="122"/>
      <c r="P133" s="173">
        <f>SUM(P122, P130)</f>
        <v>1.5554999999999999</v>
      </c>
      <c r="T133" s="21"/>
    </row>
    <row r="134" spans="2:20" ht="15.75" customHeight="1" x14ac:dyDescent="0.45">
      <c r="C134" s="21" t="s">
        <v>390</v>
      </c>
      <c r="D134" s="191" t="s">
        <v>25</v>
      </c>
      <c r="F134" s="249">
        <v>7.0000000000000001E-3</v>
      </c>
      <c r="K134" s="21" t="s">
        <v>235</v>
      </c>
      <c r="N134" s="191" t="s">
        <v>21</v>
      </c>
      <c r="O134" s="122"/>
      <c r="P134" s="174">
        <f>P122</f>
        <v>0.18</v>
      </c>
      <c r="T134" s="21"/>
    </row>
    <row r="135" spans="2:20" ht="15.75" customHeight="1" x14ac:dyDescent="0.45">
      <c r="D135" s="21"/>
      <c r="K135" s="21" t="s">
        <v>252</v>
      </c>
      <c r="N135" s="191" t="s">
        <v>25</v>
      </c>
      <c r="O135" s="122"/>
      <c r="P135" s="173">
        <f>SUM(P122,P127,P129)</f>
        <v>0.73</v>
      </c>
      <c r="T135" s="21"/>
    </row>
    <row r="136" spans="2:20" ht="15.75" customHeight="1" x14ac:dyDescent="0.45">
      <c r="D136" s="21"/>
      <c r="K136" s="21" t="s">
        <v>237</v>
      </c>
      <c r="N136" s="191" t="s">
        <v>21</v>
      </c>
      <c r="O136" s="122"/>
      <c r="P136" s="173">
        <f>P122</f>
        <v>0.18</v>
      </c>
      <c r="T136" s="21"/>
    </row>
    <row r="137" spans="2:20" ht="15.75" customHeight="1" x14ac:dyDescent="0.55000000000000004">
      <c r="B137" s="21"/>
      <c r="C137" s="25"/>
      <c r="D137" s="21"/>
      <c r="T137" s="21"/>
    </row>
    <row r="138" spans="2:20" ht="15.75" customHeight="1" x14ac:dyDescent="0.55000000000000004">
      <c r="B138" s="223" t="s">
        <v>238</v>
      </c>
      <c r="D138" s="21"/>
      <c r="J138" s="223" t="s">
        <v>238</v>
      </c>
      <c r="N138" s="21"/>
      <c r="P138" s="35" t="s">
        <v>239</v>
      </c>
      <c r="T138" s="21"/>
    </row>
    <row r="139" spans="2:20" ht="15.75" customHeight="1" x14ac:dyDescent="0.55000000000000004">
      <c r="C139" s="21" t="s">
        <v>239</v>
      </c>
      <c r="K139" s="21" t="s">
        <v>230</v>
      </c>
      <c r="N139" s="191" t="s">
        <v>21</v>
      </c>
      <c r="P139" s="143">
        <f>F140</f>
        <v>0</v>
      </c>
      <c r="T139" s="21"/>
    </row>
    <row r="140" spans="2:20" ht="15.75" customHeight="1" x14ac:dyDescent="0.45">
      <c r="C140" s="122" t="s">
        <v>230</v>
      </c>
      <c r="D140" s="191" t="s">
        <v>21</v>
      </c>
      <c r="F140" s="150"/>
      <c r="K140" s="21" t="s">
        <v>224</v>
      </c>
      <c r="N140" s="191" t="s">
        <v>25</v>
      </c>
      <c r="P140" s="283">
        <f>F141</f>
        <v>3.6400000000000002E-2</v>
      </c>
      <c r="T140" s="21"/>
    </row>
    <row r="141" spans="2:20" ht="15.75" customHeight="1" x14ac:dyDescent="0.45">
      <c r="C141" s="119" t="s">
        <v>396</v>
      </c>
      <c r="D141" s="191" t="s">
        <v>25</v>
      </c>
      <c r="F141" s="179">
        <f>ROUND((1.18%+(1%*260%))/(1+(1.18%+1%*260%)),4)</f>
        <v>3.6400000000000002E-2</v>
      </c>
      <c r="H141" s="21" t="s">
        <v>240</v>
      </c>
      <c r="K141" s="241" t="s">
        <v>226</v>
      </c>
      <c r="L141" s="241"/>
      <c r="M141" s="241"/>
      <c r="N141" s="242" t="s">
        <v>21</v>
      </c>
      <c r="O141" s="241"/>
      <c r="P141" s="284">
        <f>P139*P140</f>
        <v>0</v>
      </c>
      <c r="T141" s="21"/>
    </row>
    <row r="142" spans="2:20" ht="15.75" customHeight="1" x14ac:dyDescent="0.55000000000000004">
      <c r="C142" s="21" t="s">
        <v>241</v>
      </c>
      <c r="P142" s="35" t="s">
        <v>243</v>
      </c>
      <c r="T142" s="21"/>
    </row>
    <row r="143" spans="2:20" ht="15.75" customHeight="1" x14ac:dyDescent="0.45">
      <c r="C143" s="122" t="s">
        <v>242</v>
      </c>
      <c r="D143" s="191" t="s">
        <v>21</v>
      </c>
      <c r="F143" s="150"/>
      <c r="K143" s="21" t="s">
        <v>230</v>
      </c>
      <c r="N143" s="191" t="s">
        <v>21</v>
      </c>
      <c r="P143" s="143">
        <f>F143</f>
        <v>0</v>
      </c>
    </row>
    <row r="144" spans="2:20" ht="15.75" customHeight="1" x14ac:dyDescent="0.45">
      <c r="C144" s="119" t="s">
        <v>397</v>
      </c>
      <c r="D144" s="191" t="s">
        <v>25</v>
      </c>
      <c r="F144" s="199">
        <v>0</v>
      </c>
      <c r="H144" s="21" t="s">
        <v>240</v>
      </c>
      <c r="K144" s="21" t="s">
        <v>224</v>
      </c>
      <c r="N144" s="191" t="s">
        <v>25</v>
      </c>
      <c r="P144" s="283">
        <f>F144</f>
        <v>0</v>
      </c>
    </row>
    <row r="145" spans="1:21" ht="15.75" customHeight="1" x14ac:dyDescent="0.55000000000000004">
      <c r="C145" s="119" t="s">
        <v>244</v>
      </c>
      <c r="K145" s="241" t="s">
        <v>226</v>
      </c>
      <c r="L145" s="241"/>
      <c r="M145" s="241"/>
      <c r="N145" s="242" t="s">
        <v>21</v>
      </c>
      <c r="O145" s="241"/>
      <c r="P145" s="284">
        <f>P143*P144</f>
        <v>0</v>
      </c>
    </row>
    <row r="146" spans="1:21" ht="15.75" customHeight="1" x14ac:dyDescent="0.45">
      <c r="C146" s="122" t="s">
        <v>242</v>
      </c>
      <c r="D146" s="191" t="s">
        <v>21</v>
      </c>
      <c r="F146" s="150"/>
      <c r="P146" s="35" t="s">
        <v>246</v>
      </c>
      <c r="R146" s="35"/>
      <c r="S146" s="35"/>
    </row>
    <row r="147" spans="1:21" ht="15.75" customHeight="1" x14ac:dyDescent="0.45">
      <c r="C147" s="119" t="s">
        <v>397</v>
      </c>
      <c r="D147" s="191" t="s">
        <v>25</v>
      </c>
      <c r="F147" s="179">
        <f>ROUND((23.2%*(10.4%+10.3%+4%))/(1+(1.18%+1%*260%)),4)</f>
        <v>5.5199999999999999E-2</v>
      </c>
      <c r="H147" s="21" t="s">
        <v>245</v>
      </c>
      <c r="K147" s="21" t="s">
        <v>230</v>
      </c>
      <c r="N147" s="191" t="s">
        <v>21</v>
      </c>
      <c r="P147" s="143">
        <f>F146</f>
        <v>0</v>
      </c>
      <c r="T147" s="21"/>
    </row>
    <row r="148" spans="1:21" ht="15.75" customHeight="1" x14ac:dyDescent="0.55000000000000004">
      <c r="K148" s="21" t="s">
        <v>224</v>
      </c>
      <c r="N148" s="191" t="s">
        <v>25</v>
      </c>
      <c r="P148" s="283">
        <f>F147</f>
        <v>5.5199999999999999E-2</v>
      </c>
      <c r="T148" s="21"/>
    </row>
    <row r="149" spans="1:21" ht="15.75" customHeight="1" x14ac:dyDescent="0.45">
      <c r="C149" s="21" t="s">
        <v>309</v>
      </c>
      <c r="D149" s="191" t="s">
        <v>21</v>
      </c>
      <c r="F149" s="328"/>
      <c r="K149" s="241" t="s">
        <v>226</v>
      </c>
      <c r="L149" s="241"/>
      <c r="M149" s="241"/>
      <c r="N149" s="242" t="s">
        <v>21</v>
      </c>
      <c r="O149" s="241"/>
      <c r="P149" s="284">
        <f>P147*P148</f>
        <v>0</v>
      </c>
      <c r="T149" s="21"/>
    </row>
    <row r="150" spans="1:21" ht="15.75" customHeight="1" x14ac:dyDescent="0.45">
      <c r="C150" s="21" t="s">
        <v>310</v>
      </c>
      <c r="D150" s="191" t="s">
        <v>21</v>
      </c>
      <c r="F150" s="328"/>
      <c r="T150" s="21"/>
    </row>
    <row r="151" spans="1:21" ht="15.75" customHeight="1" x14ac:dyDescent="0.55000000000000004">
      <c r="K151" s="21" t="s">
        <v>249</v>
      </c>
      <c r="N151" s="191" t="s">
        <v>21</v>
      </c>
      <c r="P151" s="139">
        <f>IF($F$14="都道府県",P127,0)</f>
        <v>0</v>
      </c>
      <c r="T151" s="21"/>
    </row>
    <row r="152" spans="1:21" ht="15.75" customHeight="1" x14ac:dyDescent="0.55000000000000004">
      <c r="K152" s="21" t="s">
        <v>250</v>
      </c>
      <c r="N152" s="191" t="s">
        <v>21</v>
      </c>
      <c r="P152" s="126">
        <f>IF($F$14="市町村",P128,0)</f>
        <v>0</v>
      </c>
      <c r="T152" s="21"/>
    </row>
    <row r="153" spans="1:21" ht="15.75" customHeight="1" x14ac:dyDescent="0.55000000000000004">
      <c r="N153" s="21"/>
      <c r="T153" s="21"/>
    </row>
    <row r="154" spans="1:21" ht="15.75" customHeight="1" x14ac:dyDescent="0.55000000000000004">
      <c r="K154" s="21" t="s">
        <v>235</v>
      </c>
      <c r="N154" s="191" t="s">
        <v>21</v>
      </c>
      <c r="P154" s="126">
        <f>IF($F$14=$O$14,0, IF($F$14=$P$14,SUM(P141,P145),SUM(P149)))</f>
        <v>0</v>
      </c>
      <c r="T154" s="21"/>
    </row>
    <row r="155" spans="1:21" ht="15.75" customHeight="1" x14ac:dyDescent="0.55000000000000004">
      <c r="K155" s="21" t="s">
        <v>252</v>
      </c>
      <c r="N155" s="191" t="s">
        <v>21</v>
      </c>
      <c r="P155" s="126">
        <f>IF($F$14=$O$14, P131, IF($F$14=$P$14,SUM(P141,P145, P151),SUM(P149, P152)))</f>
        <v>0</v>
      </c>
      <c r="T155" s="21"/>
    </row>
    <row r="156" spans="1:21" ht="15.75" customHeight="1" x14ac:dyDescent="0.55000000000000004">
      <c r="K156" s="21" t="s">
        <v>237</v>
      </c>
      <c r="N156" s="191" t="s">
        <v>21</v>
      </c>
      <c r="P156" s="126">
        <f>IF($F$14=$O$14, 0,IF($F$14=$P$14,SUM(P141,P145, P151),SUM(P152)))</f>
        <v>0</v>
      </c>
      <c r="T156" s="21"/>
    </row>
    <row r="157" spans="1:21" ht="15.75" customHeight="1" x14ac:dyDescent="0.55000000000000004">
      <c r="N157" s="21"/>
      <c r="T157" s="21"/>
    </row>
    <row r="158" spans="1:21" ht="15.75" customHeight="1" thickBot="1" x14ac:dyDescent="0.6">
      <c r="A158" s="210" t="s">
        <v>45</v>
      </c>
      <c r="B158" s="225"/>
      <c r="C158" s="202"/>
      <c r="D158" s="203"/>
      <c r="E158" s="202"/>
      <c r="F158" s="202"/>
      <c r="G158" s="202"/>
      <c r="H158" s="202"/>
      <c r="I158" s="217" t="s">
        <v>253</v>
      </c>
      <c r="J158" s="225"/>
      <c r="K158" s="202"/>
      <c r="L158" s="202"/>
      <c r="M158" s="202"/>
      <c r="N158" s="202"/>
      <c r="O158" s="202"/>
      <c r="P158" s="202"/>
      <c r="Q158" s="202"/>
      <c r="R158" s="202"/>
      <c r="S158" s="202"/>
      <c r="T158" s="202"/>
      <c r="U158" s="202"/>
    </row>
    <row r="159" spans="1:21" ht="15.75" customHeight="1" x14ac:dyDescent="0.55000000000000004"/>
    <row r="160" spans="1:21" ht="15.75" customHeight="1" x14ac:dyDescent="0.55000000000000004">
      <c r="B160" s="223" t="s">
        <v>254</v>
      </c>
      <c r="C160" s="25"/>
      <c r="D160" s="198"/>
      <c r="E160" s="26"/>
      <c r="J160" s="223" t="s">
        <v>254</v>
      </c>
      <c r="N160" s="21"/>
      <c r="O160" s="21" t="s">
        <v>18</v>
      </c>
      <c r="P160" s="21" t="s">
        <v>200</v>
      </c>
    </row>
    <row r="161" spans="1:22" ht="15.75" customHeight="1" x14ac:dyDescent="0.45">
      <c r="C161" s="119" t="s">
        <v>391</v>
      </c>
      <c r="K161" s="21" t="s">
        <v>392</v>
      </c>
      <c r="N161" s="191" t="s">
        <v>21</v>
      </c>
      <c r="O161" s="245">
        <f>MIN(0, AJ49-BT49)</f>
        <v>-27.550307323514971</v>
      </c>
      <c r="P161" s="169"/>
    </row>
    <row r="162" spans="1:22" ht="15.75" customHeight="1" x14ac:dyDescent="0.55000000000000004">
      <c r="C162" s="119"/>
      <c r="K162" s="241" t="s">
        <v>393</v>
      </c>
      <c r="L162" s="241"/>
      <c r="M162" s="241"/>
      <c r="N162" s="242"/>
      <c r="O162" s="243">
        <f>O161</f>
        <v>-27.550307323514971</v>
      </c>
      <c r="P162" s="241"/>
    </row>
    <row r="163" spans="1:22" ht="15.75" customHeight="1" x14ac:dyDescent="0.55000000000000004">
      <c r="C163" s="119"/>
    </row>
    <row r="164" spans="1:22" ht="15.75" customHeight="1" x14ac:dyDescent="0.55000000000000004"/>
    <row r="165" spans="1:22" ht="15.75" customHeight="1" x14ac:dyDescent="0.55000000000000004"/>
    <row r="166" spans="1:22" s="142" customFormat="1" ht="15" customHeight="1" thickBot="1" x14ac:dyDescent="0.6">
      <c r="A166" s="213"/>
      <c r="B166" s="142" t="s">
        <v>265</v>
      </c>
      <c r="D166" s="190"/>
      <c r="E166" s="167"/>
      <c r="F166" s="167"/>
      <c r="I166" s="221"/>
      <c r="J166" s="230"/>
      <c r="N166" s="190"/>
      <c r="O166" s="167"/>
      <c r="P166" s="167"/>
      <c r="T166" s="190"/>
      <c r="V166" s="296"/>
    </row>
    <row r="167" spans="1:22" ht="21.5" thickTop="1" x14ac:dyDescent="0.55000000000000004"/>
    <row r="168" spans="1:22" x14ac:dyDescent="0.55000000000000004"/>
    <row r="169" spans="1:22" x14ac:dyDescent="0.55000000000000004"/>
    <row r="170" spans="1:22" x14ac:dyDescent="0.55000000000000004"/>
    <row r="171" spans="1:22" x14ac:dyDescent="0.55000000000000004"/>
    <row r="172" spans="1:22" x14ac:dyDescent="0.55000000000000004"/>
    <row r="173" spans="1:22" x14ac:dyDescent="0.55000000000000004"/>
    <row r="174" spans="1:22" x14ac:dyDescent="0.55000000000000004"/>
    <row r="175" spans="1:22" x14ac:dyDescent="0.55000000000000004"/>
    <row r="176" spans="1:22" x14ac:dyDescent="0.55000000000000004"/>
    <row r="177" x14ac:dyDescent="0.55000000000000004"/>
    <row r="178" x14ac:dyDescent="0.55000000000000004"/>
    <row r="179" x14ac:dyDescent="0.55000000000000004"/>
    <row r="180" x14ac:dyDescent="0.55000000000000004"/>
    <row r="181" x14ac:dyDescent="0.55000000000000004"/>
    <row r="182" x14ac:dyDescent="0.55000000000000004"/>
    <row r="183" x14ac:dyDescent="0.55000000000000004"/>
    <row r="184" x14ac:dyDescent="0.55000000000000004"/>
    <row r="185" x14ac:dyDescent="0.55000000000000004"/>
    <row r="186" x14ac:dyDescent="0.55000000000000004"/>
    <row r="187" x14ac:dyDescent="0.55000000000000004"/>
    <row r="188" x14ac:dyDescent="0.55000000000000004"/>
    <row r="189" x14ac:dyDescent="0.55000000000000004"/>
    <row r="190" x14ac:dyDescent="0.55000000000000004"/>
    <row r="191" x14ac:dyDescent="0.55000000000000004"/>
    <row r="192" x14ac:dyDescent="0.55000000000000004"/>
    <row r="193" x14ac:dyDescent="0.55000000000000004"/>
    <row r="194" x14ac:dyDescent="0.55000000000000004"/>
    <row r="195" x14ac:dyDescent="0.55000000000000004"/>
    <row r="196" x14ac:dyDescent="0.55000000000000004"/>
    <row r="197" x14ac:dyDescent="0.55000000000000004"/>
    <row r="198" x14ac:dyDescent="0.55000000000000004"/>
    <row r="199" x14ac:dyDescent="0.55000000000000004"/>
    <row r="200" x14ac:dyDescent="0.55000000000000004"/>
    <row r="201" x14ac:dyDescent="0.55000000000000004"/>
    <row r="202" x14ac:dyDescent="0.55000000000000004"/>
    <row r="203" x14ac:dyDescent="0.55000000000000004"/>
    <row r="204" x14ac:dyDescent="0.55000000000000004"/>
    <row r="205" x14ac:dyDescent="0.55000000000000004"/>
    <row r="206" x14ac:dyDescent="0.55000000000000004"/>
    <row r="207" x14ac:dyDescent="0.55000000000000004"/>
    <row r="208" x14ac:dyDescent="0.55000000000000004"/>
    <row r="209" x14ac:dyDescent="0.55000000000000004"/>
    <row r="210" x14ac:dyDescent="0.55000000000000004"/>
    <row r="211" x14ac:dyDescent="0.55000000000000004"/>
    <row r="212" x14ac:dyDescent="0.55000000000000004"/>
    <row r="213" x14ac:dyDescent="0.55000000000000004"/>
    <row r="214" x14ac:dyDescent="0.55000000000000004"/>
    <row r="215" x14ac:dyDescent="0.55000000000000004"/>
    <row r="216" x14ac:dyDescent="0.55000000000000004"/>
    <row r="217" x14ac:dyDescent="0.55000000000000004"/>
    <row r="218" x14ac:dyDescent="0.55000000000000004"/>
    <row r="219" x14ac:dyDescent="0.55000000000000004"/>
  </sheetData>
  <sheetProtection algorithmName="SHA-512" hashValue="yGmXDUrNYKf9Ma0rUcGQfezRe8zO56KOTEsw7NAtNsC76JxJQMnHveDeIVoEtLLn2DoPNENK6LnXMMEAlpqQLQ==" saltValue="jYPU7yt9NKc37Z6eqhbuaw==" spinCount="100000" sheet="1" formatCells="0" formatRows="0" insertColumns="0" insertRows="0" insertHyperlinks="0" deleteColumns="0" deleteRows="0" sort="0" autoFilter="0" pivotTables="0"/>
  <phoneticPr fontId="2"/>
  <dataValidations count="2">
    <dataValidation type="list" allowBlank="1" showInputMessage="1" showErrorMessage="1" sqref="F54" xr:uid="{499404F6-FE75-458B-8A16-AB8D4E0CE2E5}">
      <formula1>$G$54:$G$55</formula1>
    </dataValidation>
    <dataValidation type="list" allowBlank="1" showInputMessage="1" showErrorMessage="1" sqref="F14" xr:uid="{B97587DE-CE85-40A3-BE92-EF52F544470F}">
      <formula1>$O$14:$R$14</formula1>
    </dataValidation>
  </dataValidations>
  <pageMargins left="0.23622047244094491" right="0.23622047244094491" top="0.74803149606299213" bottom="0.74803149606299213" header="0.31496062992125984" footer="0.31496062992125984"/>
  <pageSetup paperSize="8" scale="20" fitToHeight="0" orientation="landscape" r:id="rId1"/>
  <rowBreaks count="1" manualBreakCount="1">
    <brk id="169" max="96" man="1"/>
  </rowBreaks>
  <colBreaks count="2" manualBreakCount="2">
    <brk id="21" max="165" man="1"/>
    <brk id="59" max="16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2B8F-5099-4155-8619-0E0412935C70}">
  <sheetPr>
    <tabColor rgb="FFFF0000"/>
    <pageSetUpPr fitToPage="1"/>
  </sheetPr>
  <dimension ref="A3:AH83"/>
  <sheetViews>
    <sheetView showGridLines="0" view="pageBreakPreview" zoomScale="70" zoomScaleNormal="55" zoomScaleSheetLayoutView="70" workbookViewId="0">
      <selection activeCell="Z5" sqref="Z5"/>
    </sheetView>
  </sheetViews>
  <sheetFormatPr defaultColWidth="0" defaultRowHeight="21" x14ac:dyDescent="0.55000000000000004"/>
  <cols>
    <col min="1" max="1" width="9" style="20" customWidth="1"/>
    <col min="2" max="2" width="2.75" style="20" customWidth="1"/>
    <col min="3" max="3" width="3.58203125" style="492" customWidth="1"/>
    <col min="4" max="4" width="4.58203125" style="450" customWidth="1"/>
    <col min="5" max="5" width="64.25" style="450" customWidth="1"/>
    <col min="6" max="6" width="9" style="191" customWidth="1"/>
    <col min="7" max="8" width="9.58203125" style="451" customWidth="1"/>
    <col min="9" max="9" width="21.75" style="20" customWidth="1"/>
    <col min="10" max="11" width="9.58203125" style="20" customWidth="1"/>
    <col min="12" max="12" width="4" style="20" customWidth="1"/>
    <col min="13" max="14" width="9.58203125" style="20" customWidth="1"/>
    <col min="15" max="15" width="4" style="20" customWidth="1"/>
    <col min="16" max="17" width="9.58203125" style="20" customWidth="1"/>
    <col min="18" max="18" width="4" style="20" customWidth="1"/>
    <col min="19" max="20" width="9.58203125" style="20" customWidth="1"/>
    <col min="21" max="21" width="4" style="20" customWidth="1"/>
    <col min="22" max="23" width="9.58203125" style="20" customWidth="1"/>
    <col min="24" max="24" width="4" style="20" customWidth="1"/>
    <col min="25" max="26" width="9.58203125" style="20" customWidth="1"/>
    <col min="27" max="27" width="4" style="20" customWidth="1"/>
    <col min="28" max="29" width="9.58203125" style="20" customWidth="1"/>
    <col min="30" max="30" width="4" style="20" customWidth="1"/>
    <col min="31" max="31" width="3.75" style="20" customWidth="1"/>
    <col min="32" max="32" width="9" style="20" customWidth="1"/>
    <col min="33" max="34" width="0" style="20" hidden="1" customWidth="1"/>
    <col min="35" max="16384" width="9" style="20" hidden="1"/>
  </cols>
  <sheetData>
    <row r="3" spans="1:31" s="453" customFormat="1" ht="29" x14ac:dyDescent="0.55000000000000004">
      <c r="A3" s="452" t="s">
        <v>0</v>
      </c>
      <c r="B3" s="452"/>
      <c r="C3" s="491"/>
      <c r="E3" s="490"/>
      <c r="F3" s="454"/>
    </row>
    <row r="4" spans="1:31" ht="29" x14ac:dyDescent="0.55000000000000004">
      <c r="B4" s="455"/>
    </row>
    <row r="5" spans="1:31" ht="29" x14ac:dyDescent="0.55000000000000004">
      <c r="A5" s="455"/>
      <c r="B5" s="455" t="s">
        <v>1</v>
      </c>
    </row>
    <row r="6" spans="1:31" x14ac:dyDescent="0.55000000000000004">
      <c r="A6" s="450"/>
      <c r="B6" s="456"/>
      <c r="C6" s="493" t="s">
        <v>2</v>
      </c>
      <c r="D6" s="456"/>
      <c r="E6" s="456"/>
      <c r="F6" s="457"/>
      <c r="G6" s="458" t="s">
        <v>3</v>
      </c>
      <c r="H6" s="458"/>
      <c r="I6" s="459"/>
      <c r="J6" s="459"/>
      <c r="K6" s="459"/>
      <c r="L6" s="459"/>
      <c r="M6" s="459"/>
      <c r="N6" s="459"/>
      <c r="O6" s="459"/>
      <c r="P6" s="459"/>
      <c r="Q6" s="459"/>
      <c r="R6" s="459"/>
      <c r="S6" s="459"/>
      <c r="T6" s="459"/>
      <c r="U6" s="459"/>
      <c r="V6" s="459"/>
      <c r="W6" s="459"/>
      <c r="X6" s="459"/>
      <c r="Y6" s="459"/>
      <c r="Z6" s="459"/>
      <c r="AA6" s="459"/>
      <c r="AB6" s="459"/>
      <c r="AC6" s="459"/>
      <c r="AD6" s="459"/>
      <c r="AE6" s="459"/>
    </row>
    <row r="7" spans="1:31" x14ac:dyDescent="0.55000000000000004">
      <c r="A7" s="201"/>
      <c r="B7" s="201"/>
      <c r="C7" s="494"/>
      <c r="D7" s="201" t="s">
        <v>4</v>
      </c>
      <c r="G7" s="507" t="s">
        <v>5</v>
      </c>
      <c r="H7" s="508"/>
      <c r="I7" s="465">
        <f>IF($G$7=$J$7,1,IF($G$7=$M$7,2,IF($G$7=$P$7,3,IF($G$7=$S$7,4,IF($G$7=$V$7,5,IF($G$7=$Y$7,6,IF($G$7=$AB$7,7,8)))))))</f>
        <v>4</v>
      </c>
      <c r="J7" s="511" t="s">
        <v>6</v>
      </c>
      <c r="K7" s="512"/>
      <c r="L7" s="466"/>
      <c r="M7" s="511" t="s">
        <v>7</v>
      </c>
      <c r="N7" s="512"/>
      <c r="O7" s="466"/>
      <c r="P7" s="511" t="s">
        <v>8</v>
      </c>
      <c r="Q7" s="512"/>
      <c r="R7" s="466"/>
      <c r="S7" s="511" t="s">
        <v>5</v>
      </c>
      <c r="T7" s="512"/>
      <c r="U7" s="466"/>
      <c r="V7" s="511" t="s">
        <v>9</v>
      </c>
      <c r="W7" s="512"/>
      <c r="X7" s="466"/>
      <c r="Y7" s="511" t="s">
        <v>10</v>
      </c>
      <c r="Z7" s="512"/>
      <c r="AA7" s="466"/>
      <c r="AB7" s="509" t="s">
        <v>11</v>
      </c>
      <c r="AC7" s="510"/>
      <c r="AD7" s="466"/>
    </row>
    <row r="8" spans="1:31" x14ac:dyDescent="0.55000000000000004">
      <c r="A8" s="201"/>
      <c r="B8" s="201"/>
      <c r="C8" s="494"/>
      <c r="D8" s="201" t="s">
        <v>12</v>
      </c>
      <c r="G8" s="467" t="str">
        <f xml:space="preserve"> CHOOSE($I$7, J8, M8, P8, S8, V8,Y8,  AB8)</f>
        <v>市町村</v>
      </c>
      <c r="H8" s="468"/>
      <c r="I8" s="469"/>
      <c r="J8" s="467" t="str">
        <f>DB!F14</f>
        <v>市町村</v>
      </c>
      <c r="K8" s="470"/>
      <c r="L8" s="207"/>
      <c r="M8" s="467" t="str">
        <f>BT!F14</f>
        <v>市町村</v>
      </c>
      <c r="N8" s="470"/>
      <c r="O8" s="207"/>
      <c r="P8" s="467" t="str">
        <f>DBO!F14</f>
        <v>市町村</v>
      </c>
      <c r="Q8" s="470"/>
      <c r="R8" s="207"/>
      <c r="S8" s="467" t="str">
        <f>'BTO(RO)'!F14</f>
        <v>市町村</v>
      </c>
      <c r="T8" s="470"/>
      <c r="U8" s="207"/>
      <c r="V8" s="467" t="str">
        <f>BOT・BOO!F14</f>
        <v>市町村</v>
      </c>
      <c r="W8" s="470"/>
      <c r="X8" s="207"/>
      <c r="Y8" s="467" t="str">
        <f>O!F14</f>
        <v>市町村</v>
      </c>
      <c r="Z8" s="470"/>
      <c r="AA8" s="207"/>
      <c r="AB8" s="467" t="str">
        <f>'BT+コンセッション'!F14</f>
        <v>市町村</v>
      </c>
      <c r="AC8" s="470"/>
      <c r="AD8" s="207"/>
    </row>
    <row r="9" spans="1:31" x14ac:dyDescent="0.55000000000000004">
      <c r="A9" s="450"/>
      <c r="B9" s="450"/>
      <c r="D9" s="201" t="s">
        <v>13</v>
      </c>
      <c r="F9" s="191" t="s">
        <v>14</v>
      </c>
      <c r="G9" s="467">
        <f xml:space="preserve"> CHOOSE($I$7, J9, M9, P9, S9, V9,Y9,  AB9)</f>
        <v>23</v>
      </c>
      <c r="H9" s="468"/>
      <c r="I9" s="469"/>
      <c r="J9" s="472">
        <f>SUM(J10:J11)</f>
        <v>3</v>
      </c>
      <c r="K9" s="471"/>
      <c r="L9" s="469"/>
      <c r="M9" s="472">
        <f>SUM(M10:M11)</f>
        <v>3</v>
      </c>
      <c r="N9" s="471"/>
      <c r="O9" s="469"/>
      <c r="P9" s="472">
        <f>SUM(P10:P11)</f>
        <v>23</v>
      </c>
      <c r="Q9" s="471"/>
      <c r="R9" s="469"/>
      <c r="S9" s="472">
        <f>SUM(S10:S11)</f>
        <v>23</v>
      </c>
      <c r="T9" s="471"/>
      <c r="U9" s="469"/>
      <c r="V9" s="472">
        <f>SUM(V10:V11)</f>
        <v>23</v>
      </c>
      <c r="W9" s="471"/>
      <c r="X9" s="469"/>
      <c r="Y9" s="472">
        <f>SUM(Y10:Y11)</f>
        <v>20</v>
      </c>
      <c r="Z9" s="471"/>
      <c r="AA9" s="469"/>
      <c r="AB9" s="472">
        <f>SUM(AB10:AB11)</f>
        <v>23</v>
      </c>
      <c r="AC9" s="471"/>
      <c r="AD9" s="469"/>
    </row>
    <row r="10" spans="1:31" x14ac:dyDescent="0.55000000000000004">
      <c r="A10" s="450"/>
      <c r="B10" s="450"/>
      <c r="E10" s="450" t="s">
        <v>15</v>
      </c>
      <c r="F10" s="191" t="s">
        <v>14</v>
      </c>
      <c r="G10" s="467">
        <f xml:space="preserve"> CHOOSE($I$7, J10, M10, P10, S10, V10,Y10,  AB10)</f>
        <v>3</v>
      </c>
      <c r="H10" s="468"/>
      <c r="I10" s="469"/>
      <c r="J10" s="472">
        <f>DB!F18</f>
        <v>3</v>
      </c>
      <c r="K10" s="471"/>
      <c r="L10" s="469"/>
      <c r="M10" s="472">
        <f>BT!F18</f>
        <v>3</v>
      </c>
      <c r="N10" s="471"/>
      <c r="O10" s="469"/>
      <c r="P10" s="472">
        <f>DBO!F18</f>
        <v>3</v>
      </c>
      <c r="Q10" s="471"/>
      <c r="R10" s="469"/>
      <c r="S10" s="472">
        <f>'BTO(RO)'!F18</f>
        <v>3</v>
      </c>
      <c r="T10" s="471"/>
      <c r="U10" s="469"/>
      <c r="V10" s="472">
        <f>BOT・BOO!F18</f>
        <v>3</v>
      </c>
      <c r="W10" s="471"/>
      <c r="X10" s="469"/>
      <c r="Y10" s="472">
        <f>O!F18</f>
        <v>0</v>
      </c>
      <c r="Z10" s="471"/>
      <c r="AA10" s="469"/>
      <c r="AB10" s="472">
        <f>'BT+コンセッション'!F18</f>
        <v>3</v>
      </c>
      <c r="AC10" s="471"/>
      <c r="AD10" s="469"/>
    </row>
    <row r="11" spans="1:31" x14ac:dyDescent="0.55000000000000004">
      <c r="A11" s="450"/>
      <c r="B11" s="450"/>
      <c r="E11" s="450" t="s">
        <v>16</v>
      </c>
      <c r="F11" s="191" t="s">
        <v>14</v>
      </c>
      <c r="G11" s="467">
        <f xml:space="preserve"> CHOOSE($I$7, J11, M11, P11, S11, V11,Y11,  AB11)</f>
        <v>20</v>
      </c>
      <c r="H11" s="468"/>
      <c r="I11" s="469"/>
      <c r="J11" s="472">
        <f>DB!F19</f>
        <v>0</v>
      </c>
      <c r="K11" s="471"/>
      <c r="L11" s="469"/>
      <c r="M11" s="472">
        <f>BT!F19</f>
        <v>0</v>
      </c>
      <c r="N11" s="471"/>
      <c r="O11" s="469"/>
      <c r="P11" s="472">
        <f>DBO!F19</f>
        <v>20</v>
      </c>
      <c r="Q11" s="471"/>
      <c r="R11" s="469"/>
      <c r="S11" s="472">
        <f>'BTO(RO)'!F19</f>
        <v>20</v>
      </c>
      <c r="T11" s="471"/>
      <c r="U11" s="469"/>
      <c r="V11" s="472">
        <f>BOT・BOO!F19</f>
        <v>20</v>
      </c>
      <c r="W11" s="471"/>
      <c r="X11" s="469"/>
      <c r="Y11" s="472">
        <f>O!F19</f>
        <v>20</v>
      </c>
      <c r="Z11" s="471"/>
      <c r="AA11" s="469"/>
      <c r="AB11" s="472">
        <f>'BT+コンセッション'!F19</f>
        <v>20</v>
      </c>
      <c r="AC11" s="471"/>
      <c r="AD11" s="469"/>
    </row>
    <row r="12" spans="1:31" x14ac:dyDescent="0.55000000000000004">
      <c r="A12" s="450"/>
      <c r="B12" s="450"/>
      <c r="D12" s="201"/>
      <c r="G12" s="447"/>
      <c r="H12" s="447"/>
      <c r="I12" s="2"/>
      <c r="J12" s="446"/>
      <c r="K12" s="446"/>
      <c r="L12" s="2"/>
      <c r="M12" s="446"/>
      <c r="N12" s="446"/>
      <c r="O12" s="2"/>
      <c r="P12" s="446"/>
      <c r="Q12" s="446"/>
      <c r="R12" s="2"/>
      <c r="S12" s="446"/>
      <c r="T12" s="446"/>
      <c r="U12" s="2"/>
      <c r="V12" s="446"/>
      <c r="W12" s="446"/>
      <c r="X12" s="2"/>
      <c r="Y12" s="446"/>
      <c r="Z12" s="446"/>
      <c r="AA12" s="2"/>
      <c r="AB12" s="446"/>
      <c r="AC12" s="446"/>
      <c r="AD12" s="2"/>
    </row>
    <row r="13" spans="1:31" x14ac:dyDescent="0.55000000000000004">
      <c r="A13" s="450"/>
      <c r="B13" s="456"/>
      <c r="C13" s="493" t="s">
        <v>17</v>
      </c>
      <c r="D13" s="456"/>
      <c r="E13" s="456"/>
      <c r="F13" s="457"/>
      <c r="G13" s="462"/>
      <c r="H13" s="462"/>
      <c r="I13" s="443"/>
      <c r="J13" s="445"/>
      <c r="K13" s="445"/>
      <c r="L13" s="443"/>
      <c r="M13" s="445"/>
      <c r="N13" s="445"/>
      <c r="O13" s="443"/>
      <c r="P13" s="445"/>
      <c r="Q13" s="445"/>
      <c r="R13" s="443"/>
      <c r="S13" s="445"/>
      <c r="T13" s="445"/>
      <c r="U13" s="443"/>
      <c r="V13" s="445"/>
      <c r="W13" s="445"/>
      <c r="X13" s="443"/>
      <c r="Y13" s="445"/>
      <c r="Z13" s="445"/>
      <c r="AA13" s="443"/>
      <c r="AB13" s="445"/>
      <c r="AC13" s="445"/>
      <c r="AD13" s="443"/>
      <c r="AE13" s="459"/>
    </row>
    <row r="14" spans="1:31" x14ac:dyDescent="0.55000000000000004">
      <c r="A14" s="450"/>
      <c r="B14" s="450"/>
      <c r="D14" s="201"/>
      <c r="F14" s="20"/>
      <c r="G14" s="447" t="s">
        <v>18</v>
      </c>
      <c r="H14" s="447" t="s">
        <v>19</v>
      </c>
      <c r="I14" s="2"/>
      <c r="J14" s="446" t="s">
        <v>18</v>
      </c>
      <c r="K14" s="446" t="s">
        <v>19</v>
      </c>
      <c r="L14" s="2"/>
      <c r="M14" s="446" t="s">
        <v>18</v>
      </c>
      <c r="N14" s="446" t="s">
        <v>19</v>
      </c>
      <c r="O14" s="2"/>
      <c r="P14" s="446" t="s">
        <v>18</v>
      </c>
      <c r="Q14" s="446" t="s">
        <v>19</v>
      </c>
      <c r="R14" s="2"/>
      <c r="S14" s="446" t="s">
        <v>18</v>
      </c>
      <c r="T14" s="446" t="s">
        <v>19</v>
      </c>
      <c r="U14" s="2"/>
      <c r="V14" s="446" t="s">
        <v>18</v>
      </c>
      <c r="W14" s="446" t="s">
        <v>19</v>
      </c>
      <c r="X14" s="2"/>
      <c r="Y14" s="446" t="s">
        <v>18</v>
      </c>
      <c r="Z14" s="446" t="s">
        <v>19</v>
      </c>
      <c r="AA14" s="2"/>
      <c r="AB14" s="446" t="s">
        <v>18</v>
      </c>
      <c r="AC14" s="446" t="s">
        <v>19</v>
      </c>
      <c r="AD14" s="2"/>
    </row>
    <row r="15" spans="1:31" x14ac:dyDescent="0.55000000000000004">
      <c r="A15" s="450"/>
      <c r="B15" s="450"/>
      <c r="D15" s="201" t="s">
        <v>20</v>
      </c>
      <c r="F15" s="191" t="s">
        <v>21</v>
      </c>
      <c r="G15" s="473">
        <f xml:space="preserve"> CHOOSE($I$7, J15, M15, P15, S15, V15,Y15,  AB15)</f>
        <v>2850</v>
      </c>
      <c r="H15" s="473">
        <f xml:space="preserve"> CHOOSE($I$7, K15, N15, Q15, T15, W15,Z15,  AC15)</f>
        <v>2850</v>
      </c>
      <c r="I15" s="469"/>
      <c r="J15" s="474">
        <f>DB!O35</f>
        <v>2850</v>
      </c>
      <c r="K15" s="474">
        <f>DB!P35</f>
        <v>2850</v>
      </c>
      <c r="L15" s="469"/>
      <c r="M15" s="474">
        <f>BT!O35</f>
        <v>2850</v>
      </c>
      <c r="N15" s="474">
        <f>BT!P35</f>
        <v>2850</v>
      </c>
      <c r="O15" s="469"/>
      <c r="P15" s="474">
        <f>DBO!O35</f>
        <v>2850</v>
      </c>
      <c r="Q15" s="474">
        <f>DBO!P35</f>
        <v>2850</v>
      </c>
      <c r="R15" s="469"/>
      <c r="S15" s="474">
        <f>'BTO(RO)'!O35</f>
        <v>2850</v>
      </c>
      <c r="T15" s="474">
        <f>'BTO(RO)'!P35</f>
        <v>2850</v>
      </c>
      <c r="U15" s="469"/>
      <c r="V15" s="474">
        <f>BOT・BOO!O35</f>
        <v>2850</v>
      </c>
      <c r="W15" s="474">
        <f>BOT・BOO!P35</f>
        <v>2850</v>
      </c>
      <c r="X15" s="469"/>
      <c r="Y15" s="478"/>
      <c r="Z15" s="478"/>
      <c r="AA15" s="469"/>
      <c r="AB15" s="474">
        <f>'BT+コンセッション'!O36</f>
        <v>2850</v>
      </c>
      <c r="AC15" s="474">
        <f>'BT+コンセッション'!P36</f>
        <v>2300</v>
      </c>
      <c r="AD15" s="469"/>
    </row>
    <row r="16" spans="1:31" x14ac:dyDescent="0.55000000000000004">
      <c r="A16" s="450"/>
      <c r="B16" s="450"/>
      <c r="E16" s="450" t="s">
        <v>22</v>
      </c>
      <c r="F16" s="191" t="s">
        <v>21</v>
      </c>
      <c r="G16" s="473">
        <f xml:space="preserve"> CHOOSE($I$7, J16, M16, P16, S16, V16,Y16,  AB16)</f>
        <v>3000</v>
      </c>
      <c r="H16" s="473">
        <f xml:space="preserve"> CHOOSE($I$7, K16, N16, Q16, T16, W16,Z16,  AC16)</f>
        <v>2850</v>
      </c>
      <c r="I16" s="469"/>
      <c r="J16" s="474">
        <f>DB!O65</f>
        <v>3000</v>
      </c>
      <c r="K16" s="474">
        <f>K15</f>
        <v>2850</v>
      </c>
      <c r="L16" s="469"/>
      <c r="M16" s="474">
        <f>BT!O65</f>
        <v>3000</v>
      </c>
      <c r="N16" s="474">
        <f>N15</f>
        <v>2850</v>
      </c>
      <c r="O16" s="469"/>
      <c r="P16" s="474">
        <f>DBO!O65</f>
        <v>3000</v>
      </c>
      <c r="Q16" s="474">
        <f>Q15</f>
        <v>2850</v>
      </c>
      <c r="R16" s="469"/>
      <c r="S16" s="474">
        <f>'BTO(RO)'!O65</f>
        <v>3000</v>
      </c>
      <c r="T16" s="474">
        <f>T15</f>
        <v>2850</v>
      </c>
      <c r="U16" s="469"/>
      <c r="V16" s="474">
        <f>BOT・BOO!O65</f>
        <v>3000</v>
      </c>
      <c r="W16" s="474">
        <f>W15</f>
        <v>2850</v>
      </c>
      <c r="X16" s="469"/>
      <c r="Y16" s="478"/>
      <c r="Z16" s="478"/>
      <c r="AA16" s="469"/>
      <c r="AB16" s="474">
        <f>'BT+コンセッション'!O66</f>
        <v>3000</v>
      </c>
      <c r="AC16" s="474">
        <f>AC15</f>
        <v>2300</v>
      </c>
      <c r="AD16" s="469"/>
    </row>
    <row r="17" spans="1:31" x14ac:dyDescent="0.55000000000000004">
      <c r="A17" s="450"/>
      <c r="B17" s="450"/>
      <c r="C17" s="494"/>
      <c r="D17" s="201" t="s">
        <v>23</v>
      </c>
      <c r="G17" s="475"/>
      <c r="H17" s="475"/>
      <c r="I17" s="469"/>
      <c r="J17" s="469"/>
      <c r="K17" s="469"/>
      <c r="L17" s="469"/>
      <c r="M17" s="469"/>
      <c r="N17" s="469"/>
      <c r="O17" s="469"/>
      <c r="P17" s="469"/>
      <c r="Q17" s="469"/>
      <c r="R17" s="469"/>
      <c r="S17" s="469"/>
      <c r="T17" s="469"/>
      <c r="U17" s="469"/>
      <c r="V17" s="469"/>
      <c r="W17" s="469"/>
      <c r="X17" s="469"/>
      <c r="Y17" s="469"/>
      <c r="Z17" s="469"/>
      <c r="AA17" s="469"/>
      <c r="AB17" s="469"/>
      <c r="AC17" s="469"/>
      <c r="AD17" s="469"/>
    </row>
    <row r="18" spans="1:31" s="464" customFormat="1" x14ac:dyDescent="0.55000000000000004">
      <c r="A18" s="450"/>
      <c r="B18" s="450"/>
      <c r="C18" s="492"/>
      <c r="D18" s="450"/>
      <c r="E18" s="450" t="s">
        <v>24</v>
      </c>
      <c r="F18" s="191" t="s">
        <v>25</v>
      </c>
      <c r="G18" s="476">
        <f t="shared" ref="G18:H20" si="0" xml:space="preserve"> CHOOSE($I$7, J18, M18, P18, S18, V18,Y18,  AB18)</f>
        <v>1</v>
      </c>
      <c r="H18" s="476">
        <f t="shared" si="0"/>
        <v>0.5</v>
      </c>
      <c r="I18" s="469"/>
      <c r="J18" s="476">
        <f>DB!E35</f>
        <v>1</v>
      </c>
      <c r="K18" s="476">
        <f>DB!F35</f>
        <v>1</v>
      </c>
      <c r="L18" s="477"/>
      <c r="M18" s="476">
        <f>BT!E35</f>
        <v>1</v>
      </c>
      <c r="N18" s="476">
        <f>BT!F35</f>
        <v>1</v>
      </c>
      <c r="O18" s="477"/>
      <c r="P18" s="476">
        <f>DBO!E35</f>
        <v>1</v>
      </c>
      <c r="Q18" s="476">
        <f>DBO!F35</f>
        <v>1</v>
      </c>
      <c r="R18" s="477"/>
      <c r="S18" s="476">
        <f>'BTO(RO)'!E35</f>
        <v>1</v>
      </c>
      <c r="T18" s="476">
        <f>'BTO(RO)'!F35</f>
        <v>0.5</v>
      </c>
      <c r="U18" s="477"/>
      <c r="V18" s="476">
        <f>BOT・BOO!E35</f>
        <v>1</v>
      </c>
      <c r="W18" s="476">
        <f>BOT・BOO!F35</f>
        <v>0.5</v>
      </c>
      <c r="X18" s="477"/>
      <c r="Y18" s="478"/>
      <c r="Z18" s="478"/>
      <c r="AA18" s="477"/>
      <c r="AB18" s="476">
        <f>'BT+コンセッション'!E35</f>
        <v>1</v>
      </c>
      <c r="AC18" s="476">
        <f>'BT+コンセッション'!F35</f>
        <v>0.5</v>
      </c>
      <c r="AD18" s="477"/>
    </row>
    <row r="19" spans="1:31" x14ac:dyDescent="0.55000000000000004">
      <c r="A19" s="450"/>
      <c r="B19" s="450"/>
      <c r="D19" s="201"/>
      <c r="E19" s="450" t="s">
        <v>26</v>
      </c>
      <c r="F19" s="191" t="s">
        <v>25</v>
      </c>
      <c r="G19" s="476">
        <f t="shared" si="0"/>
        <v>0</v>
      </c>
      <c r="H19" s="476">
        <f t="shared" si="0"/>
        <v>0.5</v>
      </c>
      <c r="I19" s="469"/>
      <c r="J19" s="476">
        <f t="shared" ref="J19:K19" si="1">1-J18</f>
        <v>0</v>
      </c>
      <c r="K19" s="476">
        <f t="shared" si="1"/>
        <v>0</v>
      </c>
      <c r="L19" s="477"/>
      <c r="M19" s="476">
        <f t="shared" ref="M19:N19" si="2">1-M18</f>
        <v>0</v>
      </c>
      <c r="N19" s="476">
        <f t="shared" si="2"/>
        <v>0</v>
      </c>
      <c r="O19" s="477"/>
      <c r="P19" s="476">
        <f>1-P18</f>
        <v>0</v>
      </c>
      <c r="Q19" s="476">
        <f>1-Q18</f>
        <v>0</v>
      </c>
      <c r="R19" s="477"/>
      <c r="S19" s="476">
        <f>1-S18</f>
        <v>0</v>
      </c>
      <c r="T19" s="476">
        <f>1-T18</f>
        <v>0.5</v>
      </c>
      <c r="U19" s="477"/>
      <c r="V19" s="476">
        <f>1-V18</f>
        <v>0</v>
      </c>
      <c r="W19" s="476">
        <f>1-W18</f>
        <v>0.5</v>
      </c>
      <c r="X19" s="477"/>
      <c r="Y19" s="478"/>
      <c r="Z19" s="478"/>
      <c r="AA19" s="477"/>
      <c r="AB19" s="476">
        <f>1-AB18</f>
        <v>0</v>
      </c>
      <c r="AC19" s="476">
        <f>1-AC18</f>
        <v>0.5</v>
      </c>
      <c r="AD19" s="477"/>
    </row>
    <row r="20" spans="1:31" x14ac:dyDescent="0.55000000000000004">
      <c r="A20" s="450"/>
      <c r="B20" s="450"/>
      <c r="D20" s="201" t="s">
        <v>399</v>
      </c>
      <c r="G20" s="473">
        <f t="shared" si="0"/>
        <v>0</v>
      </c>
      <c r="H20" s="473">
        <f t="shared" si="0"/>
        <v>0</v>
      </c>
      <c r="I20" s="469"/>
      <c r="J20" s="478"/>
      <c r="K20" s="478"/>
      <c r="L20" s="469"/>
      <c r="M20" s="478"/>
      <c r="N20" s="478"/>
      <c r="O20" s="469"/>
      <c r="P20" s="478"/>
      <c r="Q20" s="478"/>
      <c r="R20" s="469"/>
      <c r="S20" s="478"/>
      <c r="T20" s="478"/>
      <c r="U20" s="469"/>
      <c r="V20" s="478"/>
      <c r="W20" s="478"/>
      <c r="X20" s="469"/>
      <c r="Y20" s="478"/>
      <c r="Z20" s="478"/>
      <c r="AA20" s="469"/>
      <c r="AB20" s="474">
        <f>'BT+コンセッション'!E70</f>
        <v>0</v>
      </c>
      <c r="AC20" s="474">
        <f>'BT+コンセッション'!F70</f>
        <v>0</v>
      </c>
      <c r="AD20" s="469"/>
    </row>
    <row r="21" spans="1:31" x14ac:dyDescent="0.55000000000000004">
      <c r="A21" s="450"/>
      <c r="B21" s="450"/>
      <c r="D21" s="201" t="s">
        <v>27</v>
      </c>
      <c r="G21" s="475"/>
      <c r="H21" s="475"/>
      <c r="I21" s="469"/>
      <c r="J21" s="469"/>
      <c r="K21" s="469"/>
      <c r="L21" s="469"/>
      <c r="M21" s="469"/>
      <c r="N21" s="469"/>
      <c r="O21" s="469"/>
      <c r="P21" s="469"/>
      <c r="Q21" s="469"/>
      <c r="R21" s="469"/>
      <c r="S21" s="469"/>
      <c r="T21" s="469"/>
      <c r="U21" s="469"/>
      <c r="V21" s="469"/>
      <c r="W21" s="469"/>
      <c r="X21" s="469"/>
      <c r="Y21" s="469"/>
      <c r="Z21" s="469"/>
      <c r="AA21" s="469"/>
      <c r="AB21" s="469"/>
      <c r="AC21" s="469"/>
      <c r="AD21" s="469"/>
    </row>
    <row r="22" spans="1:31" x14ac:dyDescent="0.55000000000000004">
      <c r="A22" s="450"/>
      <c r="B22" s="450"/>
      <c r="D22" s="201"/>
      <c r="E22" s="450" t="s">
        <v>28</v>
      </c>
      <c r="F22" s="191" t="s">
        <v>21</v>
      </c>
      <c r="G22" s="473">
        <f t="shared" ref="G22:H24" si="3" xml:space="preserve"> CHOOSE($I$7, J22, M22, P22, S22, V22,Y22,  AB22)</f>
        <v>47.5</v>
      </c>
      <c r="H22" s="473">
        <f t="shared" si="3"/>
        <v>47.5</v>
      </c>
      <c r="I22" s="469"/>
      <c r="J22" s="478"/>
      <c r="K22" s="478"/>
      <c r="L22" s="469"/>
      <c r="M22" s="478"/>
      <c r="N22" s="478"/>
      <c r="O22" s="469"/>
      <c r="P22" s="474">
        <f>DBO!O46</f>
        <v>47.5</v>
      </c>
      <c r="Q22" s="474">
        <f>DBO!P46</f>
        <v>47.5</v>
      </c>
      <c r="R22" s="469"/>
      <c r="S22" s="474">
        <f>'BTO(RO)'!O46</f>
        <v>47.5</v>
      </c>
      <c r="T22" s="474">
        <f>'BTO(RO)'!P46</f>
        <v>47.5</v>
      </c>
      <c r="U22" s="469"/>
      <c r="V22" s="474">
        <f>BOT・BOO!O46</f>
        <v>47.5</v>
      </c>
      <c r="W22" s="474">
        <f>BOT・BOO!P46</f>
        <v>47.5</v>
      </c>
      <c r="X22" s="469"/>
      <c r="Y22" s="474">
        <f>O!O46</f>
        <v>47.5</v>
      </c>
      <c r="Z22" s="474">
        <f>O!P46</f>
        <v>47.5</v>
      </c>
      <c r="AA22" s="469"/>
      <c r="AB22" s="474">
        <f>'BT+コンセッション'!O46</f>
        <v>47.5</v>
      </c>
      <c r="AC22" s="474">
        <f>'BT+コンセッション'!P46</f>
        <v>47.5</v>
      </c>
      <c r="AD22" s="469"/>
    </row>
    <row r="23" spans="1:31" x14ac:dyDescent="0.55000000000000004">
      <c r="A23" s="450"/>
      <c r="B23" s="450"/>
      <c r="D23" s="201"/>
      <c r="E23" s="450" t="s">
        <v>29</v>
      </c>
      <c r="F23" s="191" t="s">
        <v>21</v>
      </c>
      <c r="G23" s="473">
        <f t="shared" si="3"/>
        <v>950</v>
      </c>
      <c r="H23" s="473">
        <f t="shared" si="3"/>
        <v>950</v>
      </c>
      <c r="I23" s="469"/>
      <c r="J23" s="478"/>
      <c r="K23" s="478"/>
      <c r="L23" s="469"/>
      <c r="M23" s="478"/>
      <c r="N23" s="478"/>
      <c r="O23" s="469"/>
      <c r="P23" s="474">
        <f>DBO!O49</f>
        <v>950</v>
      </c>
      <c r="Q23" s="474">
        <f>DBO!P49</f>
        <v>950</v>
      </c>
      <c r="R23" s="469"/>
      <c r="S23" s="474">
        <f>'BTO(RO)'!O49</f>
        <v>950</v>
      </c>
      <c r="T23" s="474">
        <f>'BTO(RO)'!P49</f>
        <v>950</v>
      </c>
      <c r="U23" s="469"/>
      <c r="V23" s="474">
        <f>BOT・BOO!O49</f>
        <v>950</v>
      </c>
      <c r="W23" s="474">
        <f>BOT・BOO!P49</f>
        <v>950</v>
      </c>
      <c r="X23" s="469"/>
      <c r="Y23" s="474">
        <f>O!O49</f>
        <v>950</v>
      </c>
      <c r="Z23" s="474">
        <f>O!P49</f>
        <v>950</v>
      </c>
      <c r="AA23" s="469"/>
      <c r="AB23" s="474">
        <f>'BT+コンセッション'!O49</f>
        <v>950</v>
      </c>
      <c r="AC23" s="474">
        <f>'BT+コンセッション'!P49</f>
        <v>950</v>
      </c>
      <c r="AD23" s="469"/>
    </row>
    <row r="24" spans="1:31" x14ac:dyDescent="0.55000000000000004">
      <c r="A24" s="450"/>
      <c r="B24" s="450"/>
      <c r="E24" s="450" t="s">
        <v>30</v>
      </c>
      <c r="F24" s="191" t="s">
        <v>21</v>
      </c>
      <c r="G24" s="473">
        <f t="shared" si="3"/>
        <v>1000</v>
      </c>
      <c r="H24" s="473">
        <f t="shared" si="3"/>
        <v>950</v>
      </c>
      <c r="I24" s="469"/>
      <c r="J24" s="478"/>
      <c r="K24" s="478"/>
      <c r="L24" s="469"/>
      <c r="M24" s="478"/>
      <c r="N24" s="478"/>
      <c r="O24" s="469"/>
      <c r="P24" s="474">
        <f>DBO!O66</f>
        <v>1000</v>
      </c>
      <c r="Q24" s="474">
        <f>Q23</f>
        <v>950</v>
      </c>
      <c r="R24" s="469"/>
      <c r="S24" s="474">
        <f>'BTO(RO)'!O66</f>
        <v>1000</v>
      </c>
      <c r="T24" s="474">
        <f>T23</f>
        <v>950</v>
      </c>
      <c r="U24" s="469"/>
      <c r="V24" s="474">
        <f>BOT・BOO!O66</f>
        <v>1000</v>
      </c>
      <c r="W24" s="474">
        <f>W23</f>
        <v>950</v>
      </c>
      <c r="X24" s="469"/>
      <c r="Y24" s="474">
        <f>O!O66</f>
        <v>1000</v>
      </c>
      <c r="Z24" s="474">
        <f>Z23</f>
        <v>950</v>
      </c>
      <c r="AA24" s="469"/>
      <c r="AB24" s="474">
        <f>'BT+コンセッション'!O67</f>
        <v>1000</v>
      </c>
      <c r="AC24" s="474">
        <f>AC23</f>
        <v>950</v>
      </c>
      <c r="AD24" s="469"/>
    </row>
    <row r="25" spans="1:31" x14ac:dyDescent="0.55000000000000004">
      <c r="A25" s="450"/>
      <c r="B25" s="450"/>
      <c r="D25" s="201"/>
      <c r="G25" s="447"/>
      <c r="H25" s="447"/>
      <c r="I25" s="2"/>
      <c r="J25" s="446"/>
      <c r="K25" s="446"/>
      <c r="L25" s="2"/>
      <c r="M25" s="2"/>
      <c r="N25" s="2"/>
      <c r="O25" s="2"/>
      <c r="P25" s="446"/>
      <c r="Q25" s="446"/>
      <c r="R25" s="2"/>
      <c r="S25" s="446"/>
      <c r="T25" s="446"/>
      <c r="U25" s="2"/>
      <c r="V25" s="446"/>
      <c r="W25" s="446"/>
      <c r="X25" s="2"/>
      <c r="Y25" s="446"/>
      <c r="Z25" s="446"/>
      <c r="AA25" s="2"/>
      <c r="AB25" s="446"/>
      <c r="AC25" s="446"/>
      <c r="AD25" s="2"/>
    </row>
    <row r="26" spans="1:31" x14ac:dyDescent="0.55000000000000004">
      <c r="A26" s="450"/>
      <c r="B26" s="456"/>
      <c r="C26" s="493" t="s">
        <v>31</v>
      </c>
      <c r="D26" s="456"/>
      <c r="E26" s="456"/>
      <c r="F26" s="457"/>
      <c r="G26" s="462"/>
      <c r="H26" s="448"/>
      <c r="I26" s="443"/>
      <c r="J26" s="445"/>
      <c r="K26" s="445"/>
      <c r="L26" s="443"/>
      <c r="M26" s="445"/>
      <c r="N26" s="445"/>
      <c r="O26" s="443"/>
      <c r="P26" s="445"/>
      <c r="Q26" s="445"/>
      <c r="R26" s="443"/>
      <c r="S26" s="445"/>
      <c r="T26" s="445"/>
      <c r="U26" s="443"/>
      <c r="V26" s="445"/>
      <c r="W26" s="445"/>
      <c r="X26" s="443"/>
      <c r="Y26" s="445"/>
      <c r="Z26" s="445"/>
      <c r="AA26" s="443"/>
      <c r="AB26" s="445"/>
      <c r="AC26" s="445"/>
      <c r="AD26" s="443"/>
      <c r="AE26" s="459"/>
    </row>
    <row r="27" spans="1:31" x14ac:dyDescent="0.55000000000000004">
      <c r="A27" s="450"/>
      <c r="B27" s="450"/>
      <c r="D27" s="201" t="s">
        <v>32</v>
      </c>
      <c r="F27" s="20"/>
      <c r="G27" s="447" t="s">
        <v>18</v>
      </c>
      <c r="H27" s="447" t="s">
        <v>19</v>
      </c>
      <c r="I27" s="2"/>
      <c r="J27" s="446" t="s">
        <v>18</v>
      </c>
      <c r="K27" s="446" t="s">
        <v>19</v>
      </c>
      <c r="L27" s="2"/>
      <c r="M27" s="446" t="s">
        <v>18</v>
      </c>
      <c r="N27" s="446" t="s">
        <v>19</v>
      </c>
      <c r="O27" s="2"/>
      <c r="P27" s="446" t="s">
        <v>18</v>
      </c>
      <c r="Q27" s="446" t="s">
        <v>19</v>
      </c>
      <c r="R27" s="2"/>
      <c r="S27" s="446" t="s">
        <v>18</v>
      </c>
      <c r="T27" s="446" t="s">
        <v>19</v>
      </c>
      <c r="U27" s="2"/>
      <c r="V27" s="446" t="s">
        <v>18</v>
      </c>
      <c r="W27" s="446" t="s">
        <v>19</v>
      </c>
      <c r="X27" s="2"/>
      <c r="Y27" s="446" t="s">
        <v>18</v>
      </c>
      <c r="Z27" s="446" t="s">
        <v>19</v>
      </c>
      <c r="AA27" s="2"/>
      <c r="AB27" s="446" t="s">
        <v>18</v>
      </c>
      <c r="AC27" s="446" t="s">
        <v>19</v>
      </c>
      <c r="AD27" s="2"/>
    </row>
    <row r="28" spans="1:31" x14ac:dyDescent="0.55000000000000004">
      <c r="A28" s="450"/>
      <c r="B28" s="450"/>
      <c r="D28" s="201"/>
      <c r="E28" s="450" t="s">
        <v>33</v>
      </c>
      <c r="F28" s="191" t="s">
        <v>21</v>
      </c>
      <c r="G28" s="473">
        <f t="shared" ref="G28:H31" si="4" xml:space="preserve"> CHOOSE($I$7, J28, M28, P28, S28, V28,Y28,  AB28)</f>
        <v>0</v>
      </c>
      <c r="H28" s="473">
        <f t="shared" si="4"/>
        <v>0</v>
      </c>
      <c r="I28" s="469"/>
      <c r="J28" s="478"/>
      <c r="K28" s="478"/>
      <c r="L28" s="469"/>
      <c r="M28" s="478"/>
      <c r="N28" s="478"/>
      <c r="O28" s="469"/>
      <c r="P28" s="474">
        <f>DBO!F72</f>
        <v>0</v>
      </c>
      <c r="Q28" s="474">
        <f>P28</f>
        <v>0</v>
      </c>
      <c r="R28" s="469"/>
      <c r="S28" s="474">
        <f>'BTO(RO)'!F72</f>
        <v>0</v>
      </c>
      <c r="T28" s="474">
        <f>S28</f>
        <v>0</v>
      </c>
      <c r="U28" s="469"/>
      <c r="V28" s="474">
        <f>BOT・BOO!F72</f>
        <v>0</v>
      </c>
      <c r="W28" s="474">
        <f>V28</f>
        <v>0</v>
      </c>
      <c r="X28" s="469"/>
      <c r="Y28" s="474">
        <f>O!F72</f>
        <v>0</v>
      </c>
      <c r="Z28" s="474">
        <f>O!F72</f>
        <v>0</v>
      </c>
      <c r="AA28" s="469"/>
      <c r="AB28" s="474">
        <f>'BT+コンセッション'!E77</f>
        <v>60</v>
      </c>
      <c r="AC28" s="474">
        <f>'BT+コンセッション'!F77</f>
        <v>110</v>
      </c>
      <c r="AD28" s="469"/>
    </row>
    <row r="29" spans="1:31" x14ac:dyDescent="0.55000000000000004">
      <c r="A29" s="450"/>
      <c r="B29" s="450"/>
      <c r="D29" s="201"/>
      <c r="E29" s="450" t="s">
        <v>29</v>
      </c>
      <c r="F29" s="191" t="s">
        <v>21</v>
      </c>
      <c r="G29" s="473">
        <f t="shared" si="4"/>
        <v>0</v>
      </c>
      <c r="H29" s="473">
        <f t="shared" si="4"/>
        <v>0</v>
      </c>
      <c r="I29" s="469"/>
      <c r="J29" s="478"/>
      <c r="K29" s="478"/>
      <c r="L29" s="469"/>
      <c r="M29" s="478"/>
      <c r="N29" s="478"/>
      <c r="O29" s="469"/>
      <c r="P29" s="474">
        <f>P28*$P$11</f>
        <v>0</v>
      </c>
      <c r="Q29" s="474">
        <f t="shared" ref="Q29" si="5">Q28*$P$11</f>
        <v>0</v>
      </c>
      <c r="R29" s="469"/>
      <c r="S29" s="474">
        <f>S28*$S$11</f>
        <v>0</v>
      </c>
      <c r="T29" s="474">
        <f>T28*$S$11</f>
        <v>0</v>
      </c>
      <c r="U29" s="469"/>
      <c r="V29" s="474">
        <f>V28*$V$11</f>
        <v>0</v>
      </c>
      <c r="W29" s="474">
        <f t="shared" ref="W29" si="6">W28*$V$11</f>
        <v>0</v>
      </c>
      <c r="X29" s="469"/>
      <c r="Y29" s="474">
        <f>Y28*$Y$11</f>
        <v>0</v>
      </c>
      <c r="Z29" s="474">
        <f>Z28*$Y$11</f>
        <v>0</v>
      </c>
      <c r="AA29" s="469"/>
      <c r="AB29" s="474">
        <f>'BT+コンセッション'!E80</f>
        <v>1350</v>
      </c>
      <c r="AC29" s="474">
        <f>'BT+コンセッション'!F80</f>
        <v>2200</v>
      </c>
      <c r="AD29" s="469"/>
    </row>
    <row r="30" spans="1:31" x14ac:dyDescent="0.55000000000000004">
      <c r="A30" s="450"/>
      <c r="B30" s="450"/>
      <c r="D30" s="201" t="s">
        <v>400</v>
      </c>
      <c r="G30" s="473">
        <f t="shared" si="4"/>
        <v>0</v>
      </c>
      <c r="H30" s="473">
        <f t="shared" si="4"/>
        <v>0</v>
      </c>
      <c r="I30" s="469"/>
      <c r="J30" s="478"/>
      <c r="K30" s="478"/>
      <c r="L30" s="469"/>
      <c r="M30" s="478"/>
      <c r="N30" s="478"/>
      <c r="O30" s="469"/>
      <c r="P30" s="478"/>
      <c r="Q30" s="478"/>
      <c r="R30" s="469"/>
      <c r="S30" s="478"/>
      <c r="T30" s="478"/>
      <c r="U30" s="469"/>
      <c r="V30" s="478"/>
      <c r="W30" s="478"/>
      <c r="X30" s="469"/>
      <c r="Y30" s="478"/>
      <c r="Z30" s="478"/>
      <c r="AA30" s="469"/>
      <c r="AB30" s="474">
        <f>'BT+コンセッション'!E83</f>
        <v>0</v>
      </c>
      <c r="AC30" s="474">
        <f>'BT+コンセッション'!F83</f>
        <v>50</v>
      </c>
      <c r="AD30" s="469"/>
    </row>
    <row r="31" spans="1:31" x14ac:dyDescent="0.55000000000000004">
      <c r="A31" s="450"/>
      <c r="B31" s="450"/>
      <c r="D31" s="201" t="s">
        <v>34</v>
      </c>
      <c r="F31" s="191" t="s">
        <v>21</v>
      </c>
      <c r="G31" s="473">
        <f t="shared" si="4"/>
        <v>0</v>
      </c>
      <c r="H31" s="473">
        <f t="shared" si="4"/>
        <v>0</v>
      </c>
      <c r="I31" s="469"/>
      <c r="J31" s="478"/>
      <c r="K31" s="478"/>
      <c r="L31" s="469"/>
      <c r="M31" s="478"/>
      <c r="N31" s="478"/>
      <c r="O31" s="469"/>
      <c r="P31" s="478"/>
      <c r="Q31" s="478"/>
      <c r="R31" s="469"/>
      <c r="S31" s="478"/>
      <c r="T31" s="478"/>
      <c r="U31" s="469"/>
      <c r="V31" s="478"/>
      <c r="W31" s="478"/>
      <c r="X31" s="469"/>
      <c r="Y31" s="478"/>
      <c r="Z31" s="478"/>
      <c r="AA31" s="469"/>
      <c r="AB31" s="478"/>
      <c r="AC31" s="474">
        <f>'BT+コンセッション'!P88</f>
        <v>550</v>
      </c>
      <c r="AD31" s="469"/>
    </row>
    <row r="32" spans="1:31" x14ac:dyDescent="0.55000000000000004">
      <c r="A32" s="450"/>
      <c r="B32" s="450"/>
      <c r="D32" s="201"/>
      <c r="G32" s="447"/>
      <c r="H32" s="447"/>
      <c r="I32" s="2"/>
      <c r="J32" s="446"/>
      <c r="K32" s="446"/>
      <c r="L32" s="2"/>
      <c r="M32" s="446"/>
      <c r="N32" s="446"/>
      <c r="O32" s="2"/>
      <c r="P32" s="446"/>
      <c r="Q32" s="446"/>
      <c r="R32" s="2"/>
      <c r="S32" s="446"/>
      <c r="T32" s="446"/>
      <c r="U32" s="2"/>
      <c r="V32" s="446"/>
      <c r="W32" s="446"/>
      <c r="X32" s="2"/>
      <c r="Y32" s="446"/>
      <c r="Z32" s="446"/>
      <c r="AA32" s="2"/>
      <c r="AB32" s="446"/>
      <c r="AC32" s="446"/>
      <c r="AD32" s="2"/>
    </row>
    <row r="33" spans="1:31" x14ac:dyDescent="0.55000000000000004">
      <c r="A33" s="450"/>
      <c r="B33" s="456"/>
      <c r="C33" s="493" t="s">
        <v>35</v>
      </c>
      <c r="D33" s="456"/>
      <c r="E33" s="456"/>
      <c r="F33" s="457"/>
      <c r="G33" s="463"/>
      <c r="H33" s="463"/>
      <c r="I33" s="443"/>
      <c r="J33" s="445"/>
      <c r="K33" s="445"/>
      <c r="L33" s="443"/>
      <c r="M33" s="445"/>
      <c r="N33" s="445"/>
      <c r="O33" s="443"/>
      <c r="P33" s="445"/>
      <c r="Q33" s="445"/>
      <c r="R33" s="443"/>
      <c r="S33" s="445"/>
      <c r="T33" s="445"/>
      <c r="U33" s="443"/>
      <c r="V33" s="445"/>
      <c r="W33" s="445"/>
      <c r="X33" s="443"/>
      <c r="Y33" s="445"/>
      <c r="Z33" s="445"/>
      <c r="AA33" s="443"/>
      <c r="AB33" s="445"/>
      <c r="AC33" s="445"/>
      <c r="AD33" s="443"/>
      <c r="AE33" s="459"/>
    </row>
    <row r="34" spans="1:31" x14ac:dyDescent="0.55000000000000004">
      <c r="A34" s="450"/>
      <c r="B34" s="450"/>
      <c r="D34" s="201" t="s">
        <v>36</v>
      </c>
      <c r="G34" s="447" t="s">
        <v>18</v>
      </c>
      <c r="H34" s="447" t="s">
        <v>19</v>
      </c>
      <c r="I34" s="2"/>
      <c r="J34" s="446" t="s">
        <v>18</v>
      </c>
      <c r="K34" s="446" t="s">
        <v>19</v>
      </c>
      <c r="L34" s="2"/>
      <c r="M34" s="446" t="s">
        <v>18</v>
      </c>
      <c r="N34" s="446" t="s">
        <v>19</v>
      </c>
      <c r="O34" s="2"/>
      <c r="P34" s="446" t="s">
        <v>18</v>
      </c>
      <c r="Q34" s="446" t="s">
        <v>19</v>
      </c>
      <c r="R34" s="2"/>
      <c r="S34" s="446" t="s">
        <v>18</v>
      </c>
      <c r="T34" s="446" t="s">
        <v>19</v>
      </c>
      <c r="U34" s="2"/>
      <c r="V34" s="446" t="s">
        <v>18</v>
      </c>
      <c r="W34" s="446" t="s">
        <v>19</v>
      </c>
      <c r="X34" s="2"/>
      <c r="Y34" s="446" t="s">
        <v>18</v>
      </c>
      <c r="Z34" s="446" t="s">
        <v>19</v>
      </c>
      <c r="AA34" s="2"/>
      <c r="AB34" s="446" t="s">
        <v>18</v>
      </c>
      <c r="AC34" s="446" t="s">
        <v>19</v>
      </c>
      <c r="AD34" s="2"/>
    </row>
    <row r="35" spans="1:31" x14ac:dyDescent="0.55000000000000004">
      <c r="A35" s="450"/>
      <c r="B35" s="450"/>
      <c r="D35" s="201"/>
      <c r="E35" s="450" t="s">
        <v>37</v>
      </c>
      <c r="F35" s="191" t="s">
        <v>21</v>
      </c>
      <c r="G35" s="473">
        <f t="shared" ref="G35:H40" si="7" xml:space="preserve"> CHOOSE($I$7, J35, M35, P35, S35, V35,Y35,  AB35)</f>
        <v>1140</v>
      </c>
      <c r="H35" s="473">
        <f t="shared" si="7"/>
        <v>1140</v>
      </c>
      <c r="I35" s="469"/>
      <c r="J35" s="474">
        <f>DB!O78</f>
        <v>1140</v>
      </c>
      <c r="K35" s="474">
        <f>DB!P78</f>
        <v>1140</v>
      </c>
      <c r="L35" s="469"/>
      <c r="M35" s="474">
        <f>BT!O78</f>
        <v>1140</v>
      </c>
      <c r="N35" s="474">
        <f>BT!P78</f>
        <v>1140</v>
      </c>
      <c r="O35" s="469"/>
      <c r="P35" s="474">
        <f>DBO!O78</f>
        <v>1140</v>
      </c>
      <c r="Q35" s="474">
        <f>DBO!P78</f>
        <v>1140</v>
      </c>
      <c r="R35" s="469"/>
      <c r="S35" s="474">
        <f>'BTO(RO)'!O78</f>
        <v>1140</v>
      </c>
      <c r="T35" s="474">
        <f>'BTO(RO)'!P78</f>
        <v>1140</v>
      </c>
      <c r="U35" s="469"/>
      <c r="V35" s="474">
        <f>BOT・BOO!O78</f>
        <v>1140</v>
      </c>
      <c r="W35" s="474">
        <f>BOT・BOO!P78</f>
        <v>1140</v>
      </c>
      <c r="X35" s="469"/>
      <c r="Y35" s="478"/>
      <c r="Z35" s="478"/>
      <c r="AA35" s="469"/>
      <c r="AB35" s="474">
        <f>'BT+コンセッション'!O95</f>
        <v>1140</v>
      </c>
      <c r="AC35" s="474">
        <f>'BT+コンセッション'!P95</f>
        <v>920</v>
      </c>
      <c r="AD35" s="469"/>
    </row>
    <row r="36" spans="1:31" x14ac:dyDescent="0.55000000000000004">
      <c r="A36" s="450"/>
      <c r="B36" s="450"/>
      <c r="E36" s="450" t="s">
        <v>38</v>
      </c>
      <c r="F36" s="191" t="s">
        <v>21</v>
      </c>
      <c r="G36" s="473">
        <f t="shared" si="7"/>
        <v>1282.5</v>
      </c>
      <c r="H36" s="473">
        <f t="shared" si="7"/>
        <v>1282.5</v>
      </c>
      <c r="I36" s="469"/>
      <c r="J36" s="474">
        <f>DB!O79</f>
        <v>1282.5</v>
      </c>
      <c r="K36" s="474">
        <f>DB!P79</f>
        <v>1282.5</v>
      </c>
      <c r="L36" s="469"/>
      <c r="M36" s="474">
        <f>BT!O79</f>
        <v>1282.5</v>
      </c>
      <c r="N36" s="474">
        <f>BT!P79</f>
        <v>1282.5</v>
      </c>
      <c r="O36" s="469"/>
      <c r="P36" s="474">
        <f>DBO!O79</f>
        <v>1282.5</v>
      </c>
      <c r="Q36" s="474">
        <f>DBO!P79</f>
        <v>1282.5</v>
      </c>
      <c r="R36" s="469"/>
      <c r="S36" s="474">
        <f>'BTO(RO)'!O79</f>
        <v>1282.5</v>
      </c>
      <c r="T36" s="474">
        <f>'BTO(RO)'!P79</f>
        <v>1282.5</v>
      </c>
      <c r="U36" s="469"/>
      <c r="V36" s="474">
        <f>BOT・BOO!O79</f>
        <v>1282.5</v>
      </c>
      <c r="W36" s="474">
        <f>BOT・BOO!P79</f>
        <v>1282.5</v>
      </c>
      <c r="X36" s="469"/>
      <c r="Y36" s="478"/>
      <c r="Z36" s="478"/>
      <c r="AA36" s="469"/>
      <c r="AB36" s="474">
        <f>'BT+コンセッション'!O96</f>
        <v>1282.5</v>
      </c>
      <c r="AC36" s="474">
        <f>'BT+コンセッション'!P96</f>
        <v>1035</v>
      </c>
      <c r="AD36" s="469"/>
    </row>
    <row r="37" spans="1:31" x14ac:dyDescent="0.55000000000000004">
      <c r="A37" s="450"/>
      <c r="B37" s="450"/>
      <c r="E37" s="450" t="s">
        <v>39</v>
      </c>
      <c r="F37" s="191" t="s">
        <v>21</v>
      </c>
      <c r="G37" s="473">
        <f t="shared" si="7"/>
        <v>0</v>
      </c>
      <c r="H37" s="473">
        <f t="shared" si="7"/>
        <v>0</v>
      </c>
      <c r="I37" s="469"/>
      <c r="J37" s="474">
        <f>DB!O80</f>
        <v>0</v>
      </c>
      <c r="K37" s="474">
        <f>DB!P80</f>
        <v>0</v>
      </c>
      <c r="L37" s="469"/>
      <c r="M37" s="474">
        <f>BT!O80</f>
        <v>0</v>
      </c>
      <c r="N37" s="474">
        <f>BT!P80</f>
        <v>0</v>
      </c>
      <c r="O37" s="469"/>
      <c r="P37" s="474">
        <f>DBO!O80</f>
        <v>0</v>
      </c>
      <c r="Q37" s="474">
        <f>DBO!P80</f>
        <v>0</v>
      </c>
      <c r="R37" s="469"/>
      <c r="S37" s="474">
        <f>'BTO(RO)'!O80</f>
        <v>0</v>
      </c>
      <c r="T37" s="474">
        <f>'BTO(RO)'!P80</f>
        <v>0</v>
      </c>
      <c r="U37" s="469"/>
      <c r="V37" s="474">
        <f>BOT・BOO!O80</f>
        <v>0</v>
      </c>
      <c r="W37" s="474">
        <f>BOT・BOO!P80</f>
        <v>0</v>
      </c>
      <c r="X37" s="469"/>
      <c r="Y37" s="478"/>
      <c r="Z37" s="478"/>
      <c r="AA37" s="469"/>
      <c r="AB37" s="474">
        <f>'BT+コンセッション'!O97</f>
        <v>0</v>
      </c>
      <c r="AC37" s="474">
        <f>'BT+コンセッション'!P97</f>
        <v>0</v>
      </c>
      <c r="AD37" s="469"/>
    </row>
    <row r="38" spans="1:31" x14ac:dyDescent="0.55000000000000004">
      <c r="A38" s="450"/>
      <c r="B38" s="450"/>
      <c r="E38" s="450" t="s">
        <v>40</v>
      </c>
      <c r="F38" s="191" t="s">
        <v>21</v>
      </c>
      <c r="G38" s="473">
        <f t="shared" si="7"/>
        <v>427.5</v>
      </c>
      <c r="H38" s="473">
        <f t="shared" si="7"/>
        <v>427.5</v>
      </c>
      <c r="I38" s="469"/>
      <c r="J38" s="474">
        <f>DB!O82</f>
        <v>64.125</v>
      </c>
      <c r="K38" s="474">
        <f>DB!P82</f>
        <v>64.125</v>
      </c>
      <c r="L38" s="469"/>
      <c r="M38" s="474">
        <f>BT!O82</f>
        <v>64.125</v>
      </c>
      <c r="N38" s="474">
        <f>BT!P82</f>
        <v>64.125</v>
      </c>
      <c r="O38" s="469"/>
      <c r="P38" s="474">
        <f>DBO!O82</f>
        <v>64.125</v>
      </c>
      <c r="Q38" s="474">
        <f>DBO!P82</f>
        <v>64.125</v>
      </c>
      <c r="R38" s="469"/>
      <c r="S38" s="474">
        <f>'BTO(RO)'!O81</f>
        <v>427.5</v>
      </c>
      <c r="T38" s="474">
        <f>'BTO(RO)'!P81</f>
        <v>427.5</v>
      </c>
      <c r="U38" s="469"/>
      <c r="V38" s="474">
        <f>BOT・BOO!O82</f>
        <v>64.125</v>
      </c>
      <c r="W38" s="474">
        <f>BOT・BOO!P82</f>
        <v>64.125</v>
      </c>
      <c r="X38" s="469"/>
      <c r="Y38" s="478"/>
      <c r="Z38" s="478"/>
      <c r="AA38" s="469"/>
      <c r="AB38" s="474">
        <f>'BT+コンセッション'!O98</f>
        <v>427.5</v>
      </c>
      <c r="AC38" s="474">
        <f>'BT+コンセッション'!P98</f>
        <v>345</v>
      </c>
      <c r="AD38" s="469"/>
    </row>
    <row r="39" spans="1:31" x14ac:dyDescent="0.55000000000000004">
      <c r="A39" s="450"/>
      <c r="B39" s="450"/>
      <c r="D39" s="201"/>
      <c r="E39" s="450" t="s">
        <v>41</v>
      </c>
      <c r="F39" s="191" t="s">
        <v>25</v>
      </c>
      <c r="G39" s="479">
        <f t="shared" si="7"/>
        <v>1.95E-2</v>
      </c>
      <c r="H39" s="479">
        <f t="shared" si="7"/>
        <v>1.95E-2</v>
      </c>
      <c r="I39" s="469"/>
      <c r="J39" s="479">
        <f>DB!F83</f>
        <v>1.95E-2</v>
      </c>
      <c r="K39" s="479">
        <f>J39</f>
        <v>1.95E-2</v>
      </c>
      <c r="L39" s="480"/>
      <c r="M39" s="479">
        <f>BT!F83</f>
        <v>1.95E-2</v>
      </c>
      <c r="N39" s="479">
        <f>M39</f>
        <v>1.95E-2</v>
      </c>
      <c r="O39" s="480"/>
      <c r="P39" s="479">
        <f>DBO!F83</f>
        <v>1.95E-2</v>
      </c>
      <c r="Q39" s="479">
        <f>P39</f>
        <v>1.95E-2</v>
      </c>
      <c r="R39" s="480"/>
      <c r="S39" s="479">
        <f>'BTO(RO)'!F83</f>
        <v>1.95E-2</v>
      </c>
      <c r="T39" s="479">
        <f>S39</f>
        <v>1.95E-2</v>
      </c>
      <c r="U39" s="480"/>
      <c r="V39" s="479">
        <f>BOT・BOO!F83</f>
        <v>1.95E-2</v>
      </c>
      <c r="W39" s="479">
        <f>V39</f>
        <v>1.95E-2</v>
      </c>
      <c r="X39" s="480"/>
      <c r="Y39" s="478"/>
      <c r="Z39" s="478"/>
      <c r="AA39" s="480"/>
      <c r="AB39" s="479">
        <f>'BT+コンセッション'!E100</f>
        <v>1.95E-2</v>
      </c>
      <c r="AC39" s="479">
        <f>'BT+コンセッション'!F100</f>
        <v>1.95E-2</v>
      </c>
      <c r="AD39" s="480"/>
    </row>
    <row r="40" spans="1:31" x14ac:dyDescent="0.55000000000000004">
      <c r="A40" s="450"/>
      <c r="B40" s="450"/>
      <c r="D40" s="201" t="s">
        <v>42</v>
      </c>
      <c r="F40" s="191" t="s">
        <v>25</v>
      </c>
      <c r="G40" s="479">
        <f t="shared" si="7"/>
        <v>0</v>
      </c>
      <c r="H40" s="479">
        <f t="shared" si="7"/>
        <v>3.7834E-2</v>
      </c>
      <c r="I40" s="469"/>
      <c r="J40" s="478"/>
      <c r="K40" s="478"/>
      <c r="L40" s="469"/>
      <c r="M40" s="478"/>
      <c r="N40" s="478"/>
      <c r="O40" s="469"/>
      <c r="P40" s="478"/>
      <c r="Q40" s="478"/>
      <c r="R40" s="469"/>
      <c r="S40" s="478"/>
      <c r="T40" s="479">
        <f>'BTO(RO)'!P40</f>
        <v>3.7834E-2</v>
      </c>
      <c r="U40" s="469"/>
      <c r="V40" s="478"/>
      <c r="W40" s="479">
        <f>BOT・BOO!P41</f>
        <v>3.7834E-2</v>
      </c>
      <c r="X40" s="469"/>
      <c r="Y40" s="478"/>
      <c r="Z40" s="478"/>
      <c r="AA40" s="469"/>
      <c r="AB40" s="478"/>
      <c r="AC40" s="479">
        <f>'BT+コンセッション'!P39</f>
        <v>3.7834E-2</v>
      </c>
      <c r="AD40" s="469"/>
    </row>
    <row r="41" spans="1:31" x14ac:dyDescent="0.55000000000000004">
      <c r="A41" s="450"/>
      <c r="B41" s="450"/>
      <c r="D41" s="201"/>
      <c r="G41" s="447"/>
      <c r="H41" s="447"/>
      <c r="I41" s="2"/>
      <c r="J41" s="446"/>
      <c r="K41" s="446"/>
      <c r="L41" s="2"/>
      <c r="M41" s="446"/>
      <c r="N41" s="446"/>
      <c r="O41" s="2"/>
      <c r="P41" s="446"/>
      <c r="Q41" s="446"/>
      <c r="R41" s="2"/>
      <c r="S41" s="446"/>
      <c r="T41" s="446"/>
      <c r="U41" s="2"/>
      <c r="V41" s="446"/>
      <c r="W41" s="446"/>
      <c r="X41" s="2"/>
      <c r="Y41" s="446"/>
      <c r="Z41" s="446"/>
      <c r="AA41" s="2"/>
      <c r="AB41" s="446"/>
      <c r="AC41" s="446"/>
      <c r="AD41" s="2"/>
    </row>
    <row r="42" spans="1:31" x14ac:dyDescent="0.55000000000000004">
      <c r="A42" s="450"/>
      <c r="B42" s="456"/>
      <c r="C42" s="493" t="s">
        <v>43</v>
      </c>
      <c r="D42" s="456"/>
      <c r="E42" s="456"/>
      <c r="F42" s="457"/>
      <c r="G42" s="463"/>
      <c r="H42" s="463"/>
      <c r="I42" s="443"/>
      <c r="J42" s="445"/>
      <c r="K42" s="445"/>
      <c r="L42" s="443"/>
      <c r="M42" s="445"/>
      <c r="N42" s="445"/>
      <c r="O42" s="443"/>
      <c r="P42" s="445"/>
      <c r="Q42" s="445"/>
      <c r="R42" s="443"/>
      <c r="S42" s="445"/>
      <c r="T42" s="445"/>
      <c r="U42" s="443"/>
      <c r="V42" s="445"/>
      <c r="W42" s="445"/>
      <c r="X42" s="443"/>
      <c r="Y42" s="445"/>
      <c r="Z42" s="445"/>
      <c r="AA42" s="443"/>
      <c r="AB42" s="445"/>
      <c r="AC42" s="445"/>
      <c r="AD42" s="443"/>
      <c r="AE42" s="459"/>
    </row>
    <row r="43" spans="1:31" x14ac:dyDescent="0.55000000000000004">
      <c r="A43" s="450"/>
      <c r="B43" s="450"/>
      <c r="D43" s="201"/>
      <c r="F43" s="20"/>
      <c r="G43" s="447" t="s">
        <v>18</v>
      </c>
      <c r="H43" s="447" t="s">
        <v>19</v>
      </c>
      <c r="I43" s="2"/>
      <c r="J43" s="446" t="s">
        <v>18</v>
      </c>
      <c r="K43" s="446" t="s">
        <v>19</v>
      </c>
      <c r="L43" s="2"/>
      <c r="M43" s="446" t="s">
        <v>18</v>
      </c>
      <c r="N43" s="446" t="s">
        <v>19</v>
      </c>
      <c r="O43" s="2"/>
      <c r="P43" s="446" t="s">
        <v>18</v>
      </c>
      <c r="Q43" s="446" t="s">
        <v>19</v>
      </c>
      <c r="R43" s="2"/>
      <c r="S43" s="446" t="s">
        <v>18</v>
      </c>
      <c r="T43" s="446" t="s">
        <v>19</v>
      </c>
      <c r="U43" s="2"/>
      <c r="V43" s="446" t="s">
        <v>18</v>
      </c>
      <c r="W43" s="446" t="s">
        <v>19</v>
      </c>
      <c r="X43" s="2"/>
      <c r="Y43" s="446" t="s">
        <v>18</v>
      </c>
      <c r="Z43" s="446" t="s">
        <v>19</v>
      </c>
      <c r="AA43" s="2"/>
      <c r="AB43" s="446" t="s">
        <v>18</v>
      </c>
      <c r="AC43" s="446" t="s">
        <v>19</v>
      </c>
      <c r="AD43" s="2"/>
    </row>
    <row r="44" spans="1:31" x14ac:dyDescent="0.55000000000000004">
      <c r="A44" s="450"/>
      <c r="B44" s="450"/>
      <c r="D44" s="201" t="s">
        <v>44</v>
      </c>
      <c r="F44" s="191" t="s">
        <v>21</v>
      </c>
      <c r="G44" s="484"/>
      <c r="H44" s="473">
        <f xml:space="preserve"> CHOOSE($I$7, K44, N44, Q44, T44, W44,Z44,  AC44)</f>
        <v>0</v>
      </c>
      <c r="I44" s="469"/>
      <c r="J44" s="478"/>
      <c r="K44" s="474">
        <f>DB!AR49</f>
        <v>0</v>
      </c>
      <c r="L44" s="469"/>
      <c r="M44" s="478"/>
      <c r="N44" s="474">
        <f>BT!AR49</f>
        <v>0</v>
      </c>
      <c r="O44" s="469"/>
      <c r="P44" s="478"/>
      <c r="Q44" s="474">
        <f>DBO!AR49</f>
        <v>0</v>
      </c>
      <c r="R44" s="469"/>
      <c r="S44" s="478"/>
      <c r="T44" s="474">
        <f>'BTO(RO)'!AR49</f>
        <v>0</v>
      </c>
      <c r="U44" s="469"/>
      <c r="V44" s="478"/>
      <c r="W44" s="474">
        <f>BOT・BOO!AR49</f>
        <v>379.05</v>
      </c>
      <c r="X44" s="469"/>
      <c r="Y44" s="478"/>
      <c r="Z44" s="474">
        <f>O!AR49</f>
        <v>0</v>
      </c>
      <c r="AA44" s="469"/>
      <c r="AB44" s="478"/>
      <c r="AC44" s="474">
        <f>'BT+コンセッション'!AS49</f>
        <v>0</v>
      </c>
      <c r="AD44" s="469"/>
    </row>
    <row r="45" spans="1:31" x14ac:dyDescent="0.55000000000000004">
      <c r="A45" s="450"/>
      <c r="B45" s="450"/>
      <c r="D45" s="201"/>
      <c r="G45" s="447"/>
      <c r="H45" s="447"/>
      <c r="I45" s="2"/>
      <c r="J45" s="446"/>
      <c r="K45" s="446"/>
      <c r="L45" s="2"/>
      <c r="M45" s="446"/>
      <c r="N45" s="446"/>
      <c r="O45" s="2"/>
      <c r="P45" s="446"/>
      <c r="Q45" s="446"/>
      <c r="R45" s="2"/>
      <c r="S45" s="446"/>
      <c r="T45" s="446"/>
      <c r="U45" s="2"/>
      <c r="V45" s="446"/>
      <c r="W45" s="446"/>
      <c r="X45" s="2"/>
      <c r="Y45" s="446"/>
      <c r="Z45" s="446"/>
      <c r="AA45" s="2"/>
      <c r="AB45" s="446"/>
      <c r="AC45" s="446"/>
      <c r="AD45" s="2"/>
    </row>
    <row r="46" spans="1:31" x14ac:dyDescent="0.55000000000000004">
      <c r="A46" s="450"/>
      <c r="B46" s="456"/>
      <c r="C46" s="493" t="s">
        <v>45</v>
      </c>
      <c r="D46" s="456"/>
      <c r="E46" s="456"/>
      <c r="F46" s="457"/>
      <c r="G46" s="463"/>
      <c r="H46" s="463"/>
      <c r="I46" s="443"/>
      <c r="J46" s="445"/>
      <c r="K46" s="445"/>
      <c r="L46" s="443"/>
      <c r="M46" s="445"/>
      <c r="N46" s="445"/>
      <c r="O46" s="443"/>
      <c r="P46" s="445"/>
      <c r="Q46" s="445"/>
      <c r="R46" s="443"/>
      <c r="S46" s="445"/>
      <c r="T46" s="445"/>
      <c r="U46" s="443"/>
      <c r="V46" s="445"/>
      <c r="W46" s="445"/>
      <c r="X46" s="443"/>
      <c r="Y46" s="445"/>
      <c r="Z46" s="445"/>
      <c r="AA46" s="443"/>
      <c r="AB46" s="445"/>
      <c r="AC46" s="445"/>
      <c r="AD46" s="443"/>
      <c r="AE46" s="459"/>
    </row>
    <row r="47" spans="1:31" x14ac:dyDescent="0.55000000000000004">
      <c r="A47" s="450"/>
      <c r="B47" s="450"/>
      <c r="D47" s="201"/>
      <c r="F47" s="20"/>
      <c r="G47" s="447" t="s">
        <v>18</v>
      </c>
      <c r="H47" s="447" t="s">
        <v>19</v>
      </c>
      <c r="I47" s="2"/>
      <c r="J47" s="446" t="s">
        <v>18</v>
      </c>
      <c r="K47" s="446" t="s">
        <v>19</v>
      </c>
      <c r="L47" s="2"/>
      <c r="M47" s="446" t="s">
        <v>18</v>
      </c>
      <c r="N47" s="446" t="s">
        <v>19</v>
      </c>
      <c r="O47" s="2"/>
      <c r="P47" s="446" t="s">
        <v>18</v>
      </c>
      <c r="Q47" s="446" t="s">
        <v>19</v>
      </c>
      <c r="R47" s="2"/>
      <c r="S47" s="446" t="s">
        <v>18</v>
      </c>
      <c r="T47" s="446" t="s">
        <v>19</v>
      </c>
      <c r="U47" s="2"/>
      <c r="V47" s="446" t="s">
        <v>18</v>
      </c>
      <c r="W47" s="446" t="s">
        <v>19</v>
      </c>
      <c r="X47" s="2"/>
      <c r="Y47" s="446" t="s">
        <v>18</v>
      </c>
      <c r="Z47" s="446" t="s">
        <v>19</v>
      </c>
      <c r="AA47" s="2"/>
      <c r="AB47" s="446" t="s">
        <v>18</v>
      </c>
      <c r="AC47" s="446" t="s">
        <v>19</v>
      </c>
      <c r="AD47" s="2"/>
    </row>
    <row r="48" spans="1:31" x14ac:dyDescent="0.55000000000000004">
      <c r="A48" s="450"/>
      <c r="B48" s="450"/>
      <c r="D48" s="201" t="s">
        <v>46</v>
      </c>
      <c r="F48" s="191" t="s">
        <v>21</v>
      </c>
      <c r="G48" s="481">
        <f xml:space="preserve"> CHOOSE($I$7, J48, M48, P48, S48, V48,Y48,  AB48)</f>
        <v>-532.15300503547348</v>
      </c>
      <c r="H48" s="484"/>
      <c r="I48" s="482"/>
      <c r="J48" s="483">
        <f>DB!AL17</f>
        <v>0</v>
      </c>
      <c r="K48" s="484"/>
      <c r="L48" s="485"/>
      <c r="M48" s="483">
        <f>BT!AL17</f>
        <v>0</v>
      </c>
      <c r="N48" s="484"/>
      <c r="O48" s="485"/>
      <c r="P48" s="483">
        <f>DBO!AL17</f>
        <v>0</v>
      </c>
      <c r="Q48" s="484"/>
      <c r="R48" s="485"/>
      <c r="S48" s="483">
        <f>'BTO(RO)'!AL17</f>
        <v>-532.15300503547348</v>
      </c>
      <c r="T48" s="484"/>
      <c r="U48" s="485"/>
      <c r="V48" s="483">
        <f>BOT・BOO!AL17</f>
        <v>-532.15300503547348</v>
      </c>
      <c r="W48" s="484"/>
      <c r="X48" s="485"/>
      <c r="Y48" s="483">
        <f>O!AL17</f>
        <v>0</v>
      </c>
      <c r="Z48" s="484"/>
      <c r="AA48" s="485"/>
      <c r="AB48" s="483">
        <f>'BT+コンセッション'!AM17</f>
        <v>-27.550307323514971</v>
      </c>
      <c r="AC48" s="484"/>
      <c r="AD48" s="485"/>
    </row>
    <row r="49" spans="1:31" x14ac:dyDescent="0.55000000000000004">
      <c r="A49" s="450"/>
      <c r="B49" s="450"/>
      <c r="D49" s="201"/>
      <c r="G49" s="447"/>
      <c r="H49" s="447"/>
      <c r="I49" s="2"/>
      <c r="J49" s="446"/>
      <c r="K49" s="446"/>
      <c r="L49" s="2"/>
      <c r="M49" s="446"/>
      <c r="N49" s="446"/>
      <c r="O49" s="2"/>
      <c r="P49" s="446"/>
      <c r="Q49" s="446"/>
      <c r="R49" s="2"/>
      <c r="S49" s="446"/>
      <c r="T49" s="446"/>
      <c r="U49" s="2"/>
      <c r="V49" s="446"/>
      <c r="W49" s="446"/>
      <c r="X49" s="2"/>
      <c r="Y49" s="446"/>
      <c r="Z49" s="446"/>
      <c r="AA49" s="2"/>
      <c r="AB49" s="446"/>
      <c r="AC49" s="446"/>
      <c r="AD49" s="2"/>
    </row>
    <row r="50" spans="1:31" x14ac:dyDescent="0.55000000000000004">
      <c r="A50" s="450"/>
      <c r="B50" s="460"/>
      <c r="C50" s="495" t="s">
        <v>47</v>
      </c>
      <c r="D50" s="460"/>
      <c r="E50" s="460"/>
      <c r="F50" s="461"/>
      <c r="G50" s="449"/>
      <c r="H50" s="449"/>
      <c r="I50" s="444"/>
      <c r="J50" s="444"/>
      <c r="K50" s="444"/>
      <c r="L50" s="444"/>
      <c r="M50" s="444"/>
      <c r="N50" s="444"/>
      <c r="O50" s="444"/>
      <c r="P50" s="444"/>
      <c r="Q50" s="444"/>
      <c r="R50" s="444"/>
      <c r="S50" s="444"/>
      <c r="T50" s="444"/>
      <c r="U50" s="444"/>
      <c r="V50" s="444"/>
      <c r="W50" s="444"/>
      <c r="X50" s="444"/>
      <c r="Y50" s="444"/>
      <c r="Z50" s="444"/>
      <c r="AA50" s="444"/>
      <c r="AB50" s="444"/>
      <c r="AC50" s="444"/>
      <c r="AD50" s="444"/>
      <c r="AE50" s="461"/>
    </row>
    <row r="51" spans="1:31" x14ac:dyDescent="0.55000000000000004">
      <c r="A51" s="450"/>
      <c r="B51" s="450"/>
      <c r="D51" s="201"/>
      <c r="F51" s="20"/>
      <c r="G51" s="447" t="s">
        <v>18</v>
      </c>
      <c r="H51" s="447" t="s">
        <v>19</v>
      </c>
      <c r="I51" s="2"/>
      <c r="J51" s="446" t="s">
        <v>18</v>
      </c>
      <c r="K51" s="446" t="s">
        <v>19</v>
      </c>
      <c r="L51" s="2"/>
      <c r="M51" s="446" t="s">
        <v>18</v>
      </c>
      <c r="N51" s="446" t="s">
        <v>19</v>
      </c>
      <c r="O51" s="2"/>
      <c r="P51" s="446" t="s">
        <v>18</v>
      </c>
      <c r="Q51" s="446" t="s">
        <v>19</v>
      </c>
      <c r="R51" s="2"/>
      <c r="S51" s="446" t="s">
        <v>18</v>
      </c>
      <c r="T51" s="446" t="s">
        <v>19</v>
      </c>
      <c r="U51" s="2"/>
      <c r="V51" s="446" t="s">
        <v>18</v>
      </c>
      <c r="W51" s="446" t="s">
        <v>19</v>
      </c>
      <c r="X51" s="2"/>
      <c r="Y51" s="446" t="s">
        <v>18</v>
      </c>
      <c r="Z51" s="446" t="s">
        <v>19</v>
      </c>
      <c r="AA51" s="2"/>
      <c r="AB51" s="446" t="s">
        <v>18</v>
      </c>
      <c r="AC51" s="446" t="s">
        <v>19</v>
      </c>
      <c r="AD51" s="2"/>
    </row>
    <row r="52" spans="1:31" x14ac:dyDescent="0.55000000000000004">
      <c r="D52" s="201" t="s">
        <v>48</v>
      </c>
      <c r="F52" s="20" t="s">
        <v>49</v>
      </c>
      <c r="G52" s="486">
        <f xml:space="preserve"> CHOOSE($I$7, J52, M52, P52, S52, V52,Y52,  AB52)</f>
        <v>0.11766233536034888</v>
      </c>
      <c r="H52" s="468"/>
      <c r="I52" s="469"/>
      <c r="J52" s="486">
        <f>DB!Y12</f>
        <v>-2.1137517729402113E-2</v>
      </c>
      <c r="K52" s="471"/>
      <c r="L52" s="469"/>
      <c r="M52" s="486">
        <f>BT!Y12</f>
        <v>-2.0859549862965784E-2</v>
      </c>
      <c r="N52" s="471"/>
      <c r="O52" s="469"/>
      <c r="P52" s="486">
        <f>DBO!Y12</f>
        <v>-9.8904710947152179E-3</v>
      </c>
      <c r="Q52" s="471"/>
      <c r="R52" s="469"/>
      <c r="S52" s="486">
        <f>'BTO(RO)'!Y12</f>
        <v>0.11766233536034888</v>
      </c>
      <c r="T52" s="471"/>
      <c r="U52" s="469"/>
      <c r="V52" s="486">
        <f>BOT・BOO!Y12</f>
        <v>4.5008875575013943E-2</v>
      </c>
      <c r="W52" s="471"/>
      <c r="X52" s="469"/>
      <c r="Y52" s="486">
        <f>O!Y12</f>
        <v>0</v>
      </c>
      <c r="Z52" s="471"/>
      <c r="AA52" s="469"/>
      <c r="AB52" s="486">
        <f>'BT+コンセッション'!Y12</f>
        <v>4.3682170150078747E-2</v>
      </c>
      <c r="AC52" s="471"/>
      <c r="AD52" s="469"/>
    </row>
    <row r="53" spans="1:31" x14ac:dyDescent="0.55000000000000004">
      <c r="D53" s="35" t="s">
        <v>50</v>
      </c>
      <c r="F53" s="191" t="s">
        <v>21</v>
      </c>
      <c r="G53" s="487">
        <f xml:space="preserve"> CHOOSE($I$7, J53, M53, P53, S53, V53,Y53,  AB53)</f>
        <v>-3197.618125</v>
      </c>
      <c r="H53" s="487">
        <f xml:space="preserve"> CHOOSE($I$7, K53, N53, Q53, T53, W53,Z53,  AC53)</f>
        <v>-4164.3279757415703</v>
      </c>
      <c r="I53" s="485"/>
      <c r="J53" s="483">
        <f>DB!AJ49</f>
        <v>-2047.6181250000004</v>
      </c>
      <c r="K53" s="483">
        <f>DB!BC49</f>
        <v>-2077.618125</v>
      </c>
      <c r="L53" s="485"/>
      <c r="M53" s="483">
        <f>BT!AJ49</f>
        <v>-2047.6181250000004</v>
      </c>
      <c r="N53" s="483">
        <f>BT!BC49</f>
        <v>-2077.618125</v>
      </c>
      <c r="O53" s="485"/>
      <c r="P53" s="483">
        <f>DBO!AJ49</f>
        <v>-3197.618125</v>
      </c>
      <c r="Q53" s="483">
        <f>DBO!BC49</f>
        <v>-3192.618125</v>
      </c>
      <c r="R53" s="485"/>
      <c r="S53" s="483">
        <f>'BTO(RO)'!AJ49</f>
        <v>-3197.618125</v>
      </c>
      <c r="T53" s="483">
        <f>'BTO(RO)'!BC49</f>
        <v>-4164.3279757415703</v>
      </c>
      <c r="U53" s="485"/>
      <c r="V53" s="483">
        <f>BOT・BOO!AJ49</f>
        <v>-3027.618125</v>
      </c>
      <c r="W53" s="483">
        <f>BOT・BOO!BC49</f>
        <v>-4316.7666634323514</v>
      </c>
      <c r="X53" s="485"/>
      <c r="Y53" s="483">
        <f>O!AJ49</f>
        <v>-1150</v>
      </c>
      <c r="Z53" s="483">
        <f>O!BC49</f>
        <v>-1150</v>
      </c>
      <c r="AA53" s="485"/>
      <c r="AB53" s="483">
        <f>'BT+コンセッション'!AL49</f>
        <v>-1857.618125</v>
      </c>
      <c r="AC53" s="483">
        <f>'BT+コンセッション'!BD49</f>
        <v>-2332.5441557234844</v>
      </c>
      <c r="AD53" s="485"/>
    </row>
    <row r="54" spans="1:31" x14ac:dyDescent="0.55000000000000004">
      <c r="D54" s="35" t="s">
        <v>51</v>
      </c>
      <c r="F54" s="191" t="s">
        <v>21</v>
      </c>
      <c r="G54" s="487">
        <f xml:space="preserve"> CHOOSE($I$7, J54, M54, P54, S54, V54,Y54,  AB54)</f>
        <v>-2563.1042400665924</v>
      </c>
      <c r="H54" s="487">
        <f xml:space="preserve"> CHOOSE($I$7, K54, N54, Q54, T54, W54,Z54,  AC54)</f>
        <v>-2261.5234094083448</v>
      </c>
      <c r="I54" s="485"/>
      <c r="J54" s="483">
        <f>DB!AM49</f>
        <v>-1318.2904297674884</v>
      </c>
      <c r="K54" s="483">
        <f>DB!BD49</f>
        <v>-1346.1558170991998</v>
      </c>
      <c r="L54" s="485"/>
      <c r="M54" s="483">
        <f>BT!AM49</f>
        <v>-1339.7672589313586</v>
      </c>
      <c r="N54" s="483">
        <f>BT!BD49</f>
        <v>-1367.7142008738062</v>
      </c>
      <c r="O54" s="485"/>
      <c r="P54" s="483">
        <f>DBO!AM49</f>
        <v>-2030.9512350311188</v>
      </c>
      <c r="Q54" s="483">
        <f>DBO!BD49</f>
        <v>-2051.0382995159703</v>
      </c>
      <c r="R54" s="485"/>
      <c r="S54" s="483">
        <f>'BTO(RO)'!AM49</f>
        <v>-2563.1042400665924</v>
      </c>
      <c r="T54" s="483">
        <f>'BTO(RO)'!BD49</f>
        <v>-2261.5234094083448</v>
      </c>
      <c r="U54" s="485"/>
      <c r="V54" s="483">
        <f>BOT・BOO!AM49</f>
        <v>-2467.0286177872376</v>
      </c>
      <c r="W54" s="483">
        <f>BOT・BOO!BD49</f>
        <v>-2355.9904336892532</v>
      </c>
      <c r="X54" s="485"/>
      <c r="Y54" s="483">
        <f>O!AM49</f>
        <v>-796.64815959540124</v>
      </c>
      <c r="Z54" s="483">
        <f>O!BD49</f>
        <v>-796.64815959540124</v>
      </c>
      <c r="AA54" s="485"/>
      <c r="AB54" s="483">
        <f>'BT+コンセッション'!AN49</f>
        <v>-1240.6182703571496</v>
      </c>
      <c r="AC54" s="483">
        <f>'BT+コンセッション'!BE49</f>
        <v>-1186.4253719801122</v>
      </c>
      <c r="AD54" s="485"/>
    </row>
    <row r="55" spans="1:31" x14ac:dyDescent="0.55000000000000004">
      <c r="D55" s="201" t="s">
        <v>52</v>
      </c>
      <c r="F55" s="191" t="s">
        <v>53</v>
      </c>
      <c r="G55" s="488"/>
      <c r="H55" s="489">
        <f xml:space="preserve"> CHOOSE($I$7, K55, N55, Q55, T55, W55,Z55,  AC55)</f>
        <v>1.1846449971199036E-2</v>
      </c>
      <c r="I55" s="469"/>
      <c r="J55" s="478"/>
      <c r="K55" s="489" t="str">
        <f>DB!AC12</f>
        <v>N/A</v>
      </c>
      <c r="L55" s="469"/>
      <c r="M55" s="478"/>
      <c r="N55" s="489" t="str">
        <f>BT!AC12</f>
        <v>N/A</v>
      </c>
      <c r="O55" s="469"/>
      <c r="P55" s="478"/>
      <c r="Q55" s="489" t="str">
        <f>DBO!AC12</f>
        <v>N/A</v>
      </c>
      <c r="R55" s="469"/>
      <c r="S55" s="478"/>
      <c r="T55" s="489">
        <f>'BTO(RO)'!AC12</f>
        <v>1.1846449971199036E-2</v>
      </c>
      <c r="U55" s="469"/>
      <c r="V55" s="478"/>
      <c r="W55" s="489">
        <f>BOT・BOO!AC12</f>
        <v>2.0256146788597114E-2</v>
      </c>
      <c r="X55" s="469"/>
      <c r="Y55" s="478"/>
      <c r="Z55" s="489" t="str">
        <f>O!AC12</f>
        <v>N/A</v>
      </c>
      <c r="AA55" s="469"/>
      <c r="AB55" s="478"/>
      <c r="AC55" s="489">
        <f>'BT+コンセッション'!AD12</f>
        <v>9.1090747714042672E-2</v>
      </c>
      <c r="AD55" s="469"/>
    </row>
    <row r="56" spans="1:31" x14ac:dyDescent="0.55000000000000004">
      <c r="D56" s="201" t="s">
        <v>401</v>
      </c>
      <c r="F56" s="191" t="s">
        <v>53</v>
      </c>
      <c r="G56" s="488"/>
      <c r="H56" s="489">
        <f xml:space="preserve"> CHOOSE($I$7, K56, N56, Q56, T56, W56,Z56,  AC56)</f>
        <v>0</v>
      </c>
      <c r="I56" s="469"/>
      <c r="J56" s="478"/>
      <c r="K56" s="478"/>
      <c r="L56" s="469"/>
      <c r="M56" s="478"/>
      <c r="N56" s="478"/>
      <c r="O56" s="469"/>
      <c r="P56" s="478"/>
      <c r="Q56" s="478"/>
      <c r="R56" s="469"/>
      <c r="S56" s="478"/>
      <c r="T56" s="478"/>
      <c r="U56" s="469"/>
      <c r="V56" s="478"/>
      <c r="W56" s="478"/>
      <c r="X56" s="469"/>
      <c r="Y56" s="478"/>
      <c r="Z56" s="478"/>
      <c r="AA56" s="469"/>
      <c r="AB56" s="478"/>
      <c r="AC56" s="489">
        <f>'BT+コンセッション'!AE12</f>
        <v>0.10416166186332704</v>
      </c>
      <c r="AD56" s="469"/>
    </row>
    <row r="77" spans="4:4" x14ac:dyDescent="0.55000000000000004">
      <c r="D77" s="20" t="s">
        <v>103</v>
      </c>
    </row>
    <row r="78" spans="4:4" x14ac:dyDescent="0.55000000000000004">
      <c r="D78" s="20" t="s">
        <v>268</v>
      </c>
    </row>
    <row r="79" spans="4:4" x14ac:dyDescent="0.55000000000000004">
      <c r="D79" s="20" t="s">
        <v>273</v>
      </c>
    </row>
    <row r="80" spans="4:4" x14ac:dyDescent="0.55000000000000004">
      <c r="D80" s="20" t="s">
        <v>394</v>
      </c>
    </row>
    <row r="81" spans="4:4" x14ac:dyDescent="0.55000000000000004">
      <c r="D81" s="20" t="s">
        <v>315</v>
      </c>
    </row>
    <row r="82" spans="4:4" x14ac:dyDescent="0.55000000000000004">
      <c r="D82" s="2" t="s">
        <v>322</v>
      </c>
    </row>
    <row r="83" spans="4:4" x14ac:dyDescent="0.55000000000000004">
      <c r="D83" s="20" t="s">
        <v>330</v>
      </c>
    </row>
  </sheetData>
  <mergeCells count="8">
    <mergeCell ref="G7:H7"/>
    <mergeCell ref="AB7:AC7"/>
    <mergeCell ref="V7:W7"/>
    <mergeCell ref="J7:K7"/>
    <mergeCell ref="M7:N7"/>
    <mergeCell ref="P7:Q7"/>
    <mergeCell ref="S7:T7"/>
    <mergeCell ref="Y7:Z7"/>
  </mergeCells>
  <phoneticPr fontId="2"/>
  <dataValidations count="1">
    <dataValidation type="list" allowBlank="1" showInputMessage="1" showErrorMessage="1" sqref="G7:H7" xr:uid="{3642F1CF-DFD4-4D23-84EF-C7956E44CEBF}">
      <formula1>$D$77:$D$83</formula1>
    </dataValidation>
  </dataValidations>
  <pageMargins left="0.7" right="0.7" top="0.75" bottom="0.75"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00EC2-4193-40BB-B451-A91FE35DEA05}">
  <sheetPr>
    <tabColor rgb="FFFFFF00"/>
  </sheetPr>
  <dimension ref="A1"/>
  <sheetViews>
    <sheetView view="pageBreakPreview" zoomScaleNormal="100" zoomScaleSheetLayoutView="100" workbookViewId="0"/>
  </sheetViews>
  <sheetFormatPr defaultColWidth="9" defaultRowHeight="12" x14ac:dyDescent="0.55000000000000004"/>
  <cols>
    <col min="1" max="16384" width="9" style="2"/>
  </cols>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EDC87-E0C0-4C0E-8826-EE3AF04EDE5C}">
  <sheetPr>
    <tabColor rgb="FFFFFF00"/>
    <pageSetUpPr fitToPage="1"/>
  </sheetPr>
  <dimension ref="A2:K33"/>
  <sheetViews>
    <sheetView showGridLines="0" view="pageBreakPreview" zoomScaleNormal="85" zoomScaleSheetLayoutView="100" workbookViewId="0"/>
  </sheetViews>
  <sheetFormatPr defaultColWidth="11" defaultRowHeight="16.5" x14ac:dyDescent="0.55000000000000004"/>
  <cols>
    <col min="1" max="5" width="11" style="4"/>
    <col min="6" max="6" width="10.83203125" style="4" customWidth="1"/>
    <col min="7" max="7" width="15.83203125" style="4" customWidth="1"/>
    <col min="8" max="8" width="20.83203125" style="4" customWidth="1"/>
    <col min="9" max="9" width="24.75" style="4" customWidth="1"/>
    <col min="10" max="10" width="17.25" style="4" bestFit="1" customWidth="1"/>
    <col min="11" max="16384" width="11" style="4"/>
  </cols>
  <sheetData>
    <row r="2" spans="1:10" ht="18" x14ac:dyDescent="0.55000000000000004">
      <c r="A2" s="9" t="s">
        <v>54</v>
      </c>
      <c r="B2" s="9"/>
      <c r="C2" s="9"/>
      <c r="D2" s="9"/>
      <c r="E2" s="9"/>
      <c r="F2" s="9"/>
      <c r="G2" s="9"/>
      <c r="H2" s="9"/>
      <c r="I2" s="9"/>
      <c r="J2" s="9"/>
    </row>
    <row r="4" spans="1:10" x14ac:dyDescent="0.55000000000000004">
      <c r="G4" s="5" t="s">
        <v>55</v>
      </c>
      <c r="H4" s="5" t="s">
        <v>56</v>
      </c>
      <c r="I4" s="5" t="s">
        <v>57</v>
      </c>
      <c r="J4" s="5" t="s">
        <v>58</v>
      </c>
    </row>
    <row r="5" spans="1:10" x14ac:dyDescent="0.25">
      <c r="A5" s="4" t="s">
        <v>59</v>
      </c>
      <c r="F5" s="4" t="s">
        <v>21</v>
      </c>
      <c r="G5" s="10">
        <f>SUM(G6:G7)</f>
        <v>3000</v>
      </c>
      <c r="H5" s="1">
        <v>0.05</v>
      </c>
      <c r="I5" s="1">
        <v>0.05</v>
      </c>
    </row>
    <row r="6" spans="1:10" x14ac:dyDescent="0.25">
      <c r="C6" s="4" t="s">
        <v>60</v>
      </c>
      <c r="F6" s="4" t="s">
        <v>21</v>
      </c>
      <c r="G6" s="11">
        <v>0</v>
      </c>
    </row>
    <row r="7" spans="1:10" x14ac:dyDescent="0.25">
      <c r="C7" s="4" t="s">
        <v>61</v>
      </c>
      <c r="F7" s="4" t="s">
        <v>21</v>
      </c>
      <c r="G7" s="11">
        <v>3000</v>
      </c>
    </row>
    <row r="10" spans="1:10" x14ac:dyDescent="0.55000000000000004">
      <c r="A10" s="4" t="s">
        <v>62</v>
      </c>
      <c r="H10" s="7"/>
      <c r="I10" s="7"/>
      <c r="J10" s="7"/>
    </row>
    <row r="11" spans="1:10" x14ac:dyDescent="0.25">
      <c r="A11" s="16"/>
      <c r="B11" s="4" t="s">
        <v>63</v>
      </c>
      <c r="F11" s="4" t="s">
        <v>21</v>
      </c>
      <c r="G11" s="10">
        <f>SUM(G12:G13)</f>
        <v>30</v>
      </c>
      <c r="H11" s="1">
        <v>0.05</v>
      </c>
      <c r="I11" s="1">
        <v>0.05</v>
      </c>
      <c r="J11" s="1">
        <v>0.02</v>
      </c>
    </row>
    <row r="12" spans="1:10" x14ac:dyDescent="0.25">
      <c r="A12" s="16"/>
      <c r="C12" s="4" t="s">
        <v>60</v>
      </c>
      <c r="F12" s="4" t="s">
        <v>21</v>
      </c>
      <c r="G12" s="12">
        <v>0</v>
      </c>
    </row>
    <row r="13" spans="1:10" x14ac:dyDescent="0.25">
      <c r="C13" s="4" t="s">
        <v>61</v>
      </c>
      <c r="F13" s="4" t="s">
        <v>21</v>
      </c>
      <c r="G13" s="12">
        <v>30</v>
      </c>
    </row>
    <row r="14" spans="1:10" x14ac:dyDescent="0.25">
      <c r="B14" s="4" t="s">
        <v>64</v>
      </c>
      <c r="F14" s="4" t="s">
        <v>21</v>
      </c>
      <c r="G14" s="10">
        <f>SUM(G15:G16)</f>
        <v>15</v>
      </c>
      <c r="H14" s="1">
        <v>0.05</v>
      </c>
      <c r="I14" s="1">
        <v>0.05</v>
      </c>
      <c r="J14" s="1">
        <v>0.02</v>
      </c>
    </row>
    <row r="15" spans="1:10" x14ac:dyDescent="0.25">
      <c r="C15" s="4" t="s">
        <v>60</v>
      </c>
      <c r="F15" s="4" t="s">
        <v>21</v>
      </c>
      <c r="G15" s="12">
        <v>0</v>
      </c>
    </row>
    <row r="16" spans="1:10" x14ac:dyDescent="0.25">
      <c r="C16" s="4" t="s">
        <v>61</v>
      </c>
      <c r="F16" s="4" t="s">
        <v>21</v>
      </c>
      <c r="G16" s="12">
        <v>15</v>
      </c>
    </row>
    <row r="17" spans="2:11" x14ac:dyDescent="0.25">
      <c r="B17" s="4" t="s">
        <v>65</v>
      </c>
      <c r="F17" s="4" t="s">
        <v>21</v>
      </c>
      <c r="G17" s="10">
        <f>SUM(G18:G19)</f>
        <v>5</v>
      </c>
      <c r="H17" s="1">
        <v>0.05</v>
      </c>
      <c r="I17" s="1">
        <v>0.05</v>
      </c>
      <c r="J17" s="1">
        <v>0.02</v>
      </c>
    </row>
    <row r="18" spans="2:11" x14ac:dyDescent="0.25">
      <c r="C18" s="4" t="s">
        <v>60</v>
      </c>
      <c r="F18" s="4" t="s">
        <v>21</v>
      </c>
      <c r="G18" s="12">
        <v>0</v>
      </c>
    </row>
    <row r="19" spans="2:11" x14ac:dyDescent="0.25">
      <c r="C19" s="4" t="s">
        <v>61</v>
      </c>
      <c r="F19" s="4" t="s">
        <v>21</v>
      </c>
      <c r="G19" s="12">
        <v>5</v>
      </c>
    </row>
    <row r="20" spans="2:11" x14ac:dyDescent="0.25">
      <c r="B20" s="4" t="s">
        <v>66</v>
      </c>
      <c r="F20" s="4" t="s">
        <v>21</v>
      </c>
      <c r="G20" s="10">
        <f>SUM(G21:G22)</f>
        <v>0</v>
      </c>
      <c r="H20" s="1">
        <v>0.05</v>
      </c>
      <c r="I20" s="1">
        <v>0.05</v>
      </c>
      <c r="J20" s="1">
        <v>0.02</v>
      </c>
    </row>
    <row r="21" spans="2:11" x14ac:dyDescent="0.25">
      <c r="C21" s="4" t="s">
        <v>60</v>
      </c>
      <c r="F21" s="4" t="s">
        <v>21</v>
      </c>
      <c r="G21" s="12">
        <v>0</v>
      </c>
    </row>
    <row r="22" spans="2:11" x14ac:dyDescent="0.25">
      <c r="C22" s="4" t="s">
        <v>61</v>
      </c>
      <c r="F22" s="4" t="s">
        <v>21</v>
      </c>
      <c r="G22" s="12">
        <v>0</v>
      </c>
    </row>
    <row r="23" spans="2:11" x14ac:dyDescent="0.25">
      <c r="B23" s="4" t="s">
        <v>67</v>
      </c>
      <c r="F23" s="4" t="s">
        <v>21</v>
      </c>
      <c r="G23" s="10">
        <f>SUM(G24:G25)</f>
        <v>0</v>
      </c>
      <c r="H23" s="1">
        <v>0.05</v>
      </c>
      <c r="I23" s="1">
        <v>0.05</v>
      </c>
      <c r="J23" s="1">
        <v>0.02</v>
      </c>
    </row>
    <row r="24" spans="2:11" x14ac:dyDescent="0.25">
      <c r="C24" s="4" t="s">
        <v>60</v>
      </c>
      <c r="F24" s="4" t="s">
        <v>21</v>
      </c>
      <c r="G24" s="12">
        <v>0</v>
      </c>
    </row>
    <row r="25" spans="2:11" ht="17" thickBot="1" x14ac:dyDescent="0.3">
      <c r="C25" s="4" t="s">
        <v>61</v>
      </c>
      <c r="F25" s="4" t="s">
        <v>21</v>
      </c>
      <c r="G25" s="17">
        <v>0</v>
      </c>
    </row>
    <row r="26" spans="2:11" ht="17" thickTop="1" x14ac:dyDescent="0.55000000000000004">
      <c r="B26" s="18" t="s">
        <v>68</v>
      </c>
      <c r="C26" s="18"/>
      <c r="D26" s="18"/>
      <c r="E26" s="18"/>
      <c r="F26" s="18" t="s">
        <v>21</v>
      </c>
      <c r="G26" s="19">
        <f>SUM(G11,G14,G17,G20,G23)</f>
        <v>50</v>
      </c>
      <c r="H26" s="18"/>
      <c r="I26" s="18"/>
      <c r="J26" s="18"/>
    </row>
    <row r="27" spans="2:11" x14ac:dyDescent="0.55000000000000004">
      <c r="C27" s="4" t="s">
        <v>69</v>
      </c>
      <c r="F27" s="4" t="s">
        <v>21</v>
      </c>
      <c r="G27" s="13">
        <f>SUM(G12,G15,G18,G21,G24)</f>
        <v>0</v>
      </c>
      <c r="H27" s="3"/>
      <c r="I27" s="3"/>
      <c r="J27" s="3"/>
    </row>
    <row r="28" spans="2:11" x14ac:dyDescent="0.55000000000000004">
      <c r="C28" s="4" t="s">
        <v>70</v>
      </c>
      <c r="F28" s="4" t="s">
        <v>21</v>
      </c>
      <c r="G28" s="13">
        <f>SUM(G13,G16,G19,G22,G25)</f>
        <v>50</v>
      </c>
      <c r="H28" s="3"/>
      <c r="I28" s="3"/>
      <c r="J28" s="3"/>
    </row>
    <row r="30" spans="2:11" x14ac:dyDescent="0.55000000000000004">
      <c r="H30" s="5" t="s">
        <v>71</v>
      </c>
      <c r="I30" s="5" t="s">
        <v>72</v>
      </c>
      <c r="J30" s="5" t="s">
        <v>73</v>
      </c>
      <c r="K30" s="15"/>
    </row>
    <row r="31" spans="2:11" x14ac:dyDescent="0.55000000000000004">
      <c r="G31" s="8" t="s">
        <v>74</v>
      </c>
      <c r="H31" s="14">
        <f>SUM(SUMPRODUCT(G5,H5))/G5</f>
        <v>0.05</v>
      </c>
      <c r="I31" s="14">
        <f>SUM(SUMPRODUCT(G5,I5))/G5</f>
        <v>0.05</v>
      </c>
      <c r="J31" s="6"/>
    </row>
    <row r="32" spans="2:11" x14ac:dyDescent="0.55000000000000004">
      <c r="G32" s="8" t="s">
        <v>75</v>
      </c>
      <c r="H32" s="14">
        <f>SUM(SUMPRODUCT(G11,H11),SUMPRODUCT(G14,H14),SUMPRODUCT(G17,H17),SUMPRODUCT(G20,H20),SUMPRODUCT(G23,H23))/G26</f>
        <v>0.05</v>
      </c>
      <c r="I32" s="14">
        <f>SUM(SUMPRODUCT(G11,I11),SUMPRODUCT(G14,I14),SUMPRODUCT(G17,I17),SUMPRODUCT(G20,I20),SUMPRODUCT(G23,I23))/G26</f>
        <v>0.05</v>
      </c>
    </row>
    <row r="33" spans="7:10" x14ac:dyDescent="0.55000000000000004">
      <c r="G33" s="8" t="s">
        <v>58</v>
      </c>
      <c r="H33" s="6"/>
      <c r="I33" s="6"/>
      <c r="J33" s="14">
        <f>SUM(SUMPRODUCT(G11,J11),SUMPRODUCT(G14,J14),SUMPRODUCT(G17,J17),SUMPRODUCT(G20,J20),SUMPRODUCT(G23,J23))/G26</f>
        <v>1.9999999999999997E-2</v>
      </c>
    </row>
  </sheetData>
  <phoneticPr fontId="2"/>
  <pageMargins left="0.7" right="0.7" top="0.75" bottom="0.75" header="0.3" footer="0.3"/>
  <pageSetup paperSize="8"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91E2-4A7B-443E-905D-16C35DE72187}">
  <sheetPr>
    <tabColor rgb="FFFFC000"/>
  </sheetPr>
  <dimension ref="A1"/>
  <sheetViews>
    <sheetView view="pageBreakPreview" topLeftCell="A16" zoomScaleNormal="100" zoomScaleSheetLayoutView="100" workbookViewId="0"/>
  </sheetViews>
  <sheetFormatPr defaultColWidth="9" defaultRowHeight="12" x14ac:dyDescent="0.55000000000000004"/>
  <cols>
    <col min="1" max="16384" width="9" style="2"/>
  </cols>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31BB-E577-4241-B29B-2EB67BE4E003}">
  <sheetPr>
    <tabColor rgb="FFFFC000"/>
    <pageSetUpPr fitToPage="1"/>
  </sheetPr>
  <dimension ref="A1:DA163"/>
  <sheetViews>
    <sheetView showGridLines="0" view="pageBreakPreview" zoomScaleNormal="40" zoomScaleSheetLayoutView="100" workbookViewId="0">
      <selection activeCell="F21" sqref="F21"/>
    </sheetView>
  </sheetViews>
  <sheetFormatPr defaultColWidth="0" defaultRowHeight="16.5" zeroHeight="1" outlineLevelCol="1" x14ac:dyDescent="0.55000000000000004"/>
  <cols>
    <col min="1" max="1" width="4.83203125" style="21" customWidth="1"/>
    <col min="2" max="2" width="4.25" style="21" customWidth="1"/>
    <col min="3" max="3" width="40.08203125" style="21" bestFit="1" customWidth="1"/>
    <col min="4" max="4" width="7.33203125" style="191" customWidth="1"/>
    <col min="5" max="6" width="14.08203125" style="21" customWidth="1"/>
    <col min="7" max="7" width="2.5" style="21" customWidth="1"/>
    <col min="8" max="8" width="43.75" style="21" customWidth="1"/>
    <col min="9" max="9" width="1.58203125" style="289" customWidth="1"/>
    <col min="10" max="10" width="4.25" style="21" customWidth="1" outlineLevel="1"/>
    <col min="11" max="11" width="12.5" style="21" customWidth="1" outlineLevel="1"/>
    <col min="12" max="12" width="1.83203125" style="21" customWidth="1" outlineLevel="1"/>
    <col min="13" max="13" width="30.83203125" style="21" customWidth="1" outlineLevel="1"/>
    <col min="14" max="14" width="11.25" style="191" customWidth="1" outlineLevel="1"/>
    <col min="15" max="16" width="14.08203125" style="21" customWidth="1" outlineLevel="1"/>
    <col min="17" max="17" width="4.75" style="21" customWidth="1" outlineLevel="1"/>
    <col min="18" max="18" width="10" style="21" customWidth="1" outlineLevel="1"/>
    <col min="19" max="19" width="19.25" style="21" customWidth="1" outlineLevel="1"/>
    <col min="20" max="20" width="7.5" style="21" customWidth="1" outlineLevel="1"/>
    <col min="21" max="21" width="24.5" style="21" customWidth="1" outlineLevel="1"/>
    <col min="22" max="22" width="12" style="21" customWidth="1"/>
    <col min="23" max="23" width="9.58203125" style="21" customWidth="1"/>
    <col min="24" max="24" width="21.5" style="21" customWidth="1"/>
    <col min="25" max="26" width="10.83203125" style="21" customWidth="1"/>
    <col min="27" max="36" width="10.83203125" style="22" customWidth="1"/>
    <col min="37" max="39" width="10.83203125" style="26" customWidth="1"/>
    <col min="40" max="40" width="1.58203125" style="26" customWidth="1"/>
    <col min="41" max="41" width="10.83203125" style="26" customWidth="1"/>
    <col min="42" max="56" width="10.83203125" style="22" customWidth="1"/>
    <col min="57" max="57" width="1.75" style="22" customWidth="1"/>
    <col min="58" max="58" width="10.83203125" style="26" customWidth="1"/>
    <col min="59" max="59" width="1.5" style="22" customWidth="1"/>
    <col min="60" max="74" width="10.83203125" style="22" customWidth="1"/>
    <col min="75" max="75" width="2.08203125" style="22" customWidth="1"/>
    <col min="76" max="76" width="3.33203125" style="22" hidden="1" customWidth="1"/>
    <col min="77" max="77" width="0" style="22" hidden="1" customWidth="1"/>
    <col min="78" max="89" width="0" style="21" hidden="1" customWidth="1"/>
    <col min="90" max="16384" width="9" style="21" hidden="1"/>
  </cols>
  <sheetData>
    <row r="1" spans="1:105" ht="15.75" customHeight="1" x14ac:dyDescent="0.55000000000000004"/>
    <row r="2" spans="1:105" ht="26" x14ac:dyDescent="0.55000000000000004">
      <c r="A2" s="207"/>
      <c r="B2" s="223"/>
      <c r="C2" s="310" t="s">
        <v>76</v>
      </c>
      <c r="I2" s="214"/>
      <c r="J2" s="223"/>
      <c r="T2" s="191"/>
      <c r="V2" s="289"/>
      <c r="W2" s="310" t="s">
        <v>77</v>
      </c>
      <c r="Y2" s="23"/>
      <c r="Z2" s="23"/>
      <c r="AA2" s="24"/>
      <c r="AB2" s="24"/>
      <c r="AC2" s="24"/>
      <c r="AD2" s="24"/>
      <c r="AE2" s="24"/>
      <c r="AF2" s="24"/>
      <c r="AG2" s="24"/>
      <c r="AH2" s="24"/>
      <c r="AI2" s="24"/>
      <c r="AJ2" s="24"/>
      <c r="AK2" s="24"/>
      <c r="AL2" s="24"/>
      <c r="AM2" s="25"/>
      <c r="AN2" s="25"/>
      <c r="AP2" s="25"/>
      <c r="AQ2" s="24"/>
      <c r="AR2" s="24"/>
      <c r="AS2" s="24"/>
      <c r="AT2" s="24"/>
      <c r="AU2" s="24"/>
      <c r="AV2" s="24"/>
      <c r="AW2" s="24"/>
      <c r="AX2" s="24"/>
      <c r="AY2" s="24"/>
      <c r="AZ2" s="24"/>
      <c r="BA2" s="24"/>
      <c r="BB2" s="24"/>
      <c r="BC2" s="24"/>
      <c r="BD2" s="24"/>
      <c r="BE2" s="24"/>
      <c r="BF2" s="24"/>
      <c r="BH2" s="26"/>
      <c r="BJ2" s="24"/>
      <c r="BK2" s="24"/>
      <c r="BL2" s="24"/>
      <c r="BM2" s="24"/>
      <c r="BN2" s="24"/>
      <c r="BO2" s="24"/>
      <c r="BP2" s="24"/>
      <c r="BQ2" s="24"/>
      <c r="BR2" s="24"/>
      <c r="BS2" s="24"/>
      <c r="BT2" s="24"/>
      <c r="BU2" s="24"/>
      <c r="BV2" s="24"/>
      <c r="BW2" s="24"/>
      <c r="BX2" s="24"/>
      <c r="BY2" s="24"/>
      <c r="BZ2" s="24"/>
      <c r="CA2" s="24"/>
      <c r="CB2" s="22"/>
      <c r="CC2" s="24"/>
      <c r="CD2" s="24"/>
      <c r="CE2" s="24"/>
      <c r="CF2" s="24"/>
      <c r="CG2" s="24"/>
      <c r="CH2" s="22"/>
      <c r="CI2" s="24"/>
      <c r="CJ2" s="24"/>
      <c r="CK2" s="22"/>
      <c r="CL2" s="22"/>
      <c r="CM2" s="22"/>
      <c r="CN2" s="22"/>
      <c r="CO2" s="22"/>
    </row>
    <row r="3" spans="1:105" ht="18" customHeight="1" x14ac:dyDescent="0.55000000000000004">
      <c r="A3" s="207"/>
      <c r="B3" s="223"/>
      <c r="C3" s="35" t="s">
        <v>78</v>
      </c>
      <c r="I3" s="214"/>
      <c r="J3" s="223"/>
      <c r="T3" s="191"/>
      <c r="V3" s="289"/>
      <c r="W3" s="310"/>
      <c r="Y3" s="23"/>
      <c r="Z3" s="23"/>
      <c r="AA3" s="24"/>
      <c r="AB3" s="24"/>
      <c r="AC3" s="24"/>
      <c r="AD3" s="24"/>
      <c r="AE3" s="24"/>
      <c r="AF3" s="24"/>
      <c r="AG3" s="24"/>
      <c r="AH3" s="24"/>
      <c r="AI3" s="24"/>
      <c r="AJ3" s="24"/>
      <c r="AK3" s="24"/>
      <c r="AL3" s="24"/>
      <c r="AM3" s="24"/>
      <c r="AN3" s="24"/>
      <c r="AO3" s="24"/>
      <c r="AP3" s="24"/>
      <c r="AQ3" s="24"/>
      <c r="AR3" s="24"/>
      <c r="AS3" s="25"/>
      <c r="AT3" s="25"/>
      <c r="AU3" s="26"/>
      <c r="AV3" s="25"/>
      <c r="AW3" s="24"/>
      <c r="AX3" s="24"/>
      <c r="AY3" s="24"/>
      <c r="AZ3" s="24"/>
      <c r="BA3" s="24"/>
      <c r="BB3" s="24"/>
      <c r="BC3" s="24"/>
      <c r="BD3" s="24"/>
      <c r="BE3" s="24"/>
      <c r="BF3" s="24"/>
      <c r="BG3" s="24"/>
      <c r="BH3" s="24"/>
      <c r="BI3" s="24"/>
      <c r="BJ3" s="24"/>
      <c r="BK3" s="24"/>
      <c r="BL3" s="24"/>
      <c r="BM3" s="24"/>
      <c r="BN3" s="24"/>
      <c r="BO3" s="24"/>
      <c r="BP3" s="24"/>
      <c r="BQ3" s="24"/>
      <c r="BR3" s="24"/>
      <c r="BT3" s="26"/>
      <c r="BV3" s="24"/>
      <c r="BW3" s="24"/>
      <c r="BX3" s="24"/>
      <c r="BY3" s="24"/>
      <c r="BZ3" s="24"/>
      <c r="CA3" s="24"/>
      <c r="CB3" s="24"/>
      <c r="CC3" s="24"/>
      <c r="CD3" s="24"/>
      <c r="CE3" s="24"/>
      <c r="CF3" s="24"/>
      <c r="CG3" s="24"/>
      <c r="CH3" s="24"/>
      <c r="CI3" s="24"/>
      <c r="CJ3" s="24"/>
      <c r="CK3" s="24"/>
      <c r="CL3" s="24"/>
      <c r="CM3" s="24"/>
      <c r="CN3" s="22"/>
      <c r="CO3" s="24"/>
      <c r="CP3" s="24"/>
      <c r="CQ3" s="24"/>
      <c r="CR3" s="24"/>
      <c r="CS3" s="24"/>
      <c r="CT3" s="22"/>
      <c r="CU3" s="24"/>
      <c r="CV3" s="24"/>
      <c r="CW3" s="22"/>
      <c r="CX3" s="22"/>
      <c r="CY3" s="22"/>
      <c r="CZ3" s="22"/>
      <c r="DA3" s="22"/>
    </row>
    <row r="4" spans="1:105" ht="18" customHeight="1" x14ac:dyDescent="0.45">
      <c r="A4" s="207"/>
      <c r="B4" s="223"/>
      <c r="C4" s="419" t="s">
        <v>79</v>
      </c>
      <c r="I4" s="214"/>
      <c r="J4" s="223"/>
      <c r="T4" s="191"/>
      <c r="V4" s="289"/>
      <c r="W4" s="310"/>
      <c r="Y4" s="23"/>
      <c r="Z4" s="23"/>
      <c r="AA4" s="24"/>
      <c r="AB4" s="24"/>
      <c r="AC4" s="24"/>
      <c r="AD4" s="24"/>
      <c r="AE4" s="24"/>
      <c r="AF4" s="24"/>
      <c r="AG4" s="24"/>
      <c r="AH4" s="24"/>
      <c r="AI4" s="24"/>
      <c r="AJ4" s="24"/>
      <c r="AK4" s="24"/>
      <c r="AL4" s="24"/>
      <c r="AM4" s="24"/>
      <c r="AN4" s="24"/>
      <c r="AO4" s="24"/>
      <c r="AP4" s="24"/>
      <c r="AQ4" s="24"/>
      <c r="AR4" s="24"/>
      <c r="AS4" s="25"/>
      <c r="AT4" s="25"/>
      <c r="AU4" s="26"/>
      <c r="AV4" s="25"/>
      <c r="AW4" s="24"/>
      <c r="AX4" s="24"/>
      <c r="AY4" s="24"/>
      <c r="AZ4" s="24"/>
      <c r="BA4" s="24"/>
      <c r="BB4" s="24"/>
      <c r="BC4" s="24"/>
      <c r="BD4" s="24"/>
      <c r="BE4" s="24"/>
      <c r="BF4" s="24"/>
      <c r="BG4" s="24"/>
      <c r="BH4" s="24"/>
      <c r="BI4" s="24"/>
      <c r="BJ4" s="24"/>
      <c r="BK4" s="24"/>
      <c r="BL4" s="24"/>
      <c r="BM4" s="24"/>
      <c r="BN4" s="24"/>
      <c r="BO4" s="24"/>
      <c r="BP4" s="24"/>
      <c r="BQ4" s="24"/>
      <c r="BR4" s="24"/>
      <c r="BT4" s="26"/>
      <c r="BV4" s="24"/>
      <c r="BW4" s="24"/>
      <c r="BX4" s="24"/>
      <c r="BY4" s="24"/>
      <c r="BZ4" s="24"/>
      <c r="CA4" s="24"/>
      <c r="CB4" s="24"/>
      <c r="CC4" s="24"/>
      <c r="CD4" s="24"/>
      <c r="CE4" s="24"/>
      <c r="CF4" s="24"/>
      <c r="CG4" s="24"/>
      <c r="CH4" s="24"/>
      <c r="CI4" s="24"/>
      <c r="CJ4" s="24"/>
      <c r="CK4" s="24"/>
      <c r="CL4" s="24"/>
      <c r="CM4" s="24"/>
      <c r="CN4" s="22"/>
      <c r="CO4" s="24"/>
      <c r="CP4" s="24"/>
      <c r="CQ4" s="24"/>
      <c r="CR4" s="24"/>
      <c r="CS4" s="24"/>
      <c r="CT4" s="22"/>
      <c r="CU4" s="24"/>
      <c r="CV4" s="24"/>
      <c r="CW4" s="22"/>
      <c r="CX4" s="22"/>
      <c r="CY4" s="22"/>
      <c r="CZ4" s="22"/>
      <c r="DA4" s="22"/>
    </row>
    <row r="5" spans="1:105" ht="18" customHeight="1" x14ac:dyDescent="0.45">
      <c r="A5" s="207"/>
      <c r="B5" s="223"/>
      <c r="C5" s="382" t="s">
        <v>80</v>
      </c>
      <c r="I5" s="214"/>
      <c r="J5" s="223"/>
      <c r="T5" s="191"/>
      <c r="V5" s="289"/>
      <c r="W5" s="310"/>
      <c r="Y5" s="23"/>
      <c r="Z5" s="23"/>
      <c r="AA5" s="24"/>
      <c r="AB5" s="24"/>
      <c r="AC5" s="24"/>
      <c r="AD5" s="24"/>
      <c r="AE5" s="24"/>
      <c r="AF5" s="24"/>
      <c r="AG5" s="24"/>
      <c r="AH5" s="24"/>
      <c r="AI5" s="24"/>
      <c r="AJ5" s="24"/>
      <c r="AK5" s="24"/>
      <c r="AL5" s="24"/>
      <c r="AM5" s="24"/>
      <c r="AN5" s="24"/>
      <c r="AO5" s="24"/>
      <c r="AP5" s="24"/>
      <c r="AQ5" s="24"/>
      <c r="AR5" s="24"/>
      <c r="AS5" s="25"/>
      <c r="AT5" s="25"/>
      <c r="AU5" s="26"/>
      <c r="AV5" s="25"/>
      <c r="AW5" s="24"/>
      <c r="AX5" s="24"/>
      <c r="AY5" s="24"/>
      <c r="AZ5" s="24"/>
      <c r="BA5" s="24"/>
      <c r="BB5" s="24"/>
      <c r="BC5" s="24"/>
      <c r="BD5" s="24"/>
      <c r="BE5" s="24"/>
      <c r="BF5" s="24"/>
      <c r="BG5" s="24"/>
      <c r="BH5" s="24"/>
      <c r="BI5" s="24"/>
      <c r="BJ5" s="24"/>
      <c r="BK5" s="24"/>
      <c r="BL5" s="24"/>
      <c r="BM5" s="24"/>
      <c r="BN5" s="24"/>
      <c r="BO5" s="24"/>
      <c r="BP5" s="24"/>
      <c r="BQ5" s="24"/>
      <c r="BR5" s="24"/>
      <c r="BT5" s="26"/>
      <c r="BV5" s="24"/>
      <c r="BW5" s="24"/>
      <c r="BX5" s="24"/>
      <c r="BY5" s="24"/>
      <c r="BZ5" s="24"/>
      <c r="CA5" s="24"/>
      <c r="CB5" s="24"/>
      <c r="CC5" s="24"/>
      <c r="CD5" s="24"/>
      <c r="CE5" s="24"/>
      <c r="CF5" s="24"/>
      <c r="CG5" s="24"/>
      <c r="CH5" s="24"/>
      <c r="CI5" s="24"/>
      <c r="CJ5" s="24"/>
      <c r="CK5" s="24"/>
      <c r="CL5" s="24"/>
      <c r="CM5" s="24"/>
      <c r="CN5" s="22"/>
      <c r="CO5" s="24"/>
      <c r="CP5" s="24"/>
      <c r="CQ5" s="24"/>
      <c r="CR5" s="24"/>
      <c r="CS5" s="24"/>
      <c r="CT5" s="22"/>
      <c r="CU5" s="24"/>
      <c r="CV5" s="24"/>
      <c r="CW5" s="22"/>
      <c r="CX5" s="22"/>
      <c r="CY5" s="22"/>
      <c r="CZ5" s="22"/>
      <c r="DA5" s="22"/>
    </row>
    <row r="6" spans="1:105" ht="18" customHeight="1" x14ac:dyDescent="0.45">
      <c r="A6" s="207"/>
      <c r="B6" s="223"/>
      <c r="C6" s="420" t="s">
        <v>81</v>
      </c>
      <c r="I6" s="214"/>
      <c r="J6" s="223"/>
      <c r="T6" s="191"/>
      <c r="V6" s="289"/>
      <c r="W6" s="310"/>
      <c r="Y6" s="23"/>
      <c r="Z6" s="23"/>
      <c r="AA6" s="24"/>
      <c r="AB6" s="24"/>
      <c r="AC6" s="24"/>
      <c r="AD6" s="24"/>
      <c r="AE6" s="24"/>
      <c r="AF6" s="24"/>
      <c r="AG6" s="24"/>
      <c r="AH6" s="24"/>
      <c r="AI6" s="24"/>
      <c r="AJ6" s="24"/>
      <c r="AK6" s="24"/>
      <c r="AL6" s="24"/>
      <c r="AM6" s="24"/>
      <c r="AN6" s="24"/>
      <c r="AO6" s="24"/>
      <c r="AP6" s="24"/>
      <c r="AQ6" s="24"/>
      <c r="AR6" s="24"/>
      <c r="AS6" s="25"/>
      <c r="AT6" s="25"/>
      <c r="AU6" s="26"/>
      <c r="AV6" s="25"/>
      <c r="AW6" s="24"/>
      <c r="AX6" s="24"/>
      <c r="AY6" s="24"/>
      <c r="AZ6" s="24"/>
      <c r="BA6" s="24"/>
      <c r="BB6" s="24"/>
      <c r="BC6" s="24"/>
      <c r="BD6" s="24"/>
      <c r="BE6" s="24"/>
      <c r="BF6" s="24"/>
      <c r="BG6" s="24"/>
      <c r="BH6" s="24"/>
      <c r="BI6" s="24"/>
      <c r="BJ6" s="24"/>
      <c r="BK6" s="24"/>
      <c r="BL6" s="24"/>
      <c r="BM6" s="24"/>
      <c r="BN6" s="24"/>
      <c r="BO6" s="24"/>
      <c r="BP6" s="24"/>
      <c r="BQ6" s="24"/>
      <c r="BR6" s="24"/>
      <c r="BT6" s="26"/>
      <c r="BV6" s="24"/>
      <c r="BW6" s="24"/>
      <c r="BX6" s="24"/>
      <c r="BY6" s="24"/>
      <c r="BZ6" s="24"/>
      <c r="CA6" s="24"/>
      <c r="CB6" s="24"/>
      <c r="CC6" s="24"/>
      <c r="CD6" s="24"/>
      <c r="CE6" s="24"/>
      <c r="CF6" s="24"/>
      <c r="CG6" s="24"/>
      <c r="CH6" s="24"/>
      <c r="CI6" s="24"/>
      <c r="CJ6" s="24"/>
      <c r="CK6" s="24"/>
      <c r="CL6" s="24"/>
      <c r="CM6" s="24"/>
      <c r="CN6" s="22"/>
      <c r="CO6" s="24"/>
      <c r="CP6" s="24"/>
      <c r="CQ6" s="24"/>
      <c r="CR6" s="24"/>
      <c r="CS6" s="24"/>
      <c r="CT6" s="22"/>
      <c r="CU6" s="24"/>
      <c r="CV6" s="24"/>
      <c r="CW6" s="22"/>
      <c r="CX6" s="22"/>
      <c r="CY6" s="22"/>
      <c r="CZ6" s="22"/>
      <c r="DA6" s="22"/>
    </row>
    <row r="7" spans="1:105" ht="15.75" customHeight="1" x14ac:dyDescent="0.55000000000000004"/>
    <row r="8" spans="1:105" s="35" customFormat="1" ht="15.75" customHeight="1" x14ac:dyDescent="0.55000000000000004">
      <c r="A8" s="27" t="s">
        <v>82</v>
      </c>
      <c r="B8" s="27"/>
      <c r="C8" s="27"/>
      <c r="D8" s="195"/>
      <c r="E8" s="27"/>
      <c r="F8" s="27"/>
      <c r="G8" s="27"/>
      <c r="H8" s="27"/>
      <c r="I8" s="336"/>
      <c r="J8" s="28" t="s">
        <v>83</v>
      </c>
      <c r="K8" s="28"/>
      <c r="L8" s="28"/>
      <c r="M8" s="28"/>
      <c r="N8" s="192"/>
      <c r="O8" s="28"/>
      <c r="P8" s="28"/>
      <c r="Q8" s="28"/>
      <c r="R8" s="28"/>
      <c r="S8" s="28"/>
      <c r="T8" s="28"/>
      <c r="U8" s="28"/>
      <c r="V8" s="29" t="s">
        <v>84</v>
      </c>
      <c r="W8" s="29"/>
      <c r="X8" s="29"/>
      <c r="Y8" s="29"/>
      <c r="Z8" s="29"/>
      <c r="AA8" s="34"/>
      <c r="AB8" s="34"/>
      <c r="AC8" s="34"/>
      <c r="AD8" s="34"/>
      <c r="AE8" s="34"/>
      <c r="AF8" s="34"/>
      <c r="AG8" s="34"/>
      <c r="AH8" s="34"/>
      <c r="AI8" s="34"/>
      <c r="AJ8" s="34"/>
      <c r="AK8" s="33"/>
      <c r="AL8" s="33"/>
      <c r="AM8" s="33"/>
      <c r="AN8" s="33"/>
      <c r="AO8" s="33"/>
      <c r="AP8" s="34"/>
      <c r="AQ8" s="34"/>
      <c r="AR8" s="34"/>
      <c r="AS8" s="34"/>
      <c r="AT8" s="34"/>
      <c r="AU8" s="34"/>
      <c r="AV8" s="34"/>
      <c r="AW8" s="34"/>
      <c r="AX8" s="34"/>
      <c r="AY8" s="34"/>
      <c r="AZ8" s="34"/>
      <c r="BA8" s="34"/>
      <c r="BB8" s="34"/>
      <c r="BC8" s="34"/>
      <c r="BD8" s="34"/>
      <c r="BE8" s="34"/>
      <c r="BF8" s="33"/>
      <c r="BG8" s="34"/>
      <c r="BH8" s="34"/>
      <c r="BI8" s="34"/>
      <c r="BJ8" s="34"/>
      <c r="BK8" s="34"/>
      <c r="BL8" s="34"/>
      <c r="BM8" s="34"/>
      <c r="BN8" s="34"/>
      <c r="BO8" s="34"/>
      <c r="BP8" s="34"/>
      <c r="BQ8" s="34"/>
      <c r="BR8" s="34"/>
      <c r="BS8" s="34"/>
      <c r="BT8" s="34"/>
      <c r="BU8" s="34"/>
      <c r="BV8" s="34"/>
      <c r="BW8" s="34"/>
      <c r="BX8" s="34"/>
      <c r="BY8" s="34"/>
    </row>
    <row r="9" spans="1:105" s="35" customFormat="1" ht="15.75" customHeight="1" x14ac:dyDescent="0.55000000000000004">
      <c r="A9" s="36"/>
      <c r="B9" s="344" t="s">
        <v>85</v>
      </c>
      <c r="C9" s="36"/>
      <c r="D9" s="196"/>
      <c r="E9" s="36"/>
      <c r="F9" s="36"/>
      <c r="G9" s="36"/>
      <c r="H9" s="36"/>
      <c r="I9" s="330"/>
      <c r="N9" s="193"/>
      <c r="AA9" s="37"/>
      <c r="AB9" s="37"/>
      <c r="AC9" s="37"/>
      <c r="AD9" s="37"/>
      <c r="AE9" s="37"/>
      <c r="AF9" s="37"/>
      <c r="AG9" s="37"/>
      <c r="AH9" s="37"/>
      <c r="AI9" s="37"/>
      <c r="AJ9" s="37"/>
      <c r="AK9" s="41"/>
      <c r="AL9" s="41"/>
      <c r="AM9" s="41"/>
      <c r="AN9" s="41"/>
      <c r="AO9" s="41"/>
      <c r="AP9" s="37"/>
      <c r="AQ9" s="37"/>
      <c r="AR9" s="37"/>
      <c r="AS9" s="37"/>
      <c r="AT9" s="37"/>
      <c r="AU9" s="37"/>
      <c r="AV9" s="37"/>
      <c r="AW9" s="37"/>
      <c r="AX9" s="37"/>
      <c r="AY9" s="37"/>
      <c r="AZ9" s="37"/>
      <c r="BA9" s="37"/>
      <c r="BB9" s="37"/>
      <c r="BC9" s="37"/>
      <c r="BD9" s="37"/>
      <c r="BE9" s="37"/>
      <c r="BF9" s="41"/>
      <c r="BG9" s="37"/>
      <c r="BH9" s="37"/>
      <c r="BI9" s="37"/>
      <c r="BJ9" s="37"/>
      <c r="BK9" s="37"/>
      <c r="BL9" s="37"/>
      <c r="BM9" s="37"/>
      <c r="BN9" s="37"/>
      <c r="BO9" s="37"/>
      <c r="BP9" s="37"/>
      <c r="BQ9" s="37"/>
      <c r="BR9" s="37"/>
      <c r="BS9" s="37"/>
      <c r="BT9" s="37"/>
      <c r="BU9" s="37"/>
      <c r="BV9" s="37"/>
      <c r="BW9" s="37"/>
      <c r="BX9" s="37"/>
      <c r="BY9" s="37"/>
    </row>
    <row r="10" spans="1:105" ht="15.75" customHeight="1" thickBot="1" x14ac:dyDescent="0.6">
      <c r="W10" s="439" t="s">
        <v>48</v>
      </c>
      <c r="X10" s="439"/>
      <c r="Y10" s="440"/>
      <c r="AC10" s="345" t="s">
        <v>86</v>
      </c>
    </row>
    <row r="11" spans="1:105" ht="21" x14ac:dyDescent="0.55000000000000004">
      <c r="A11" s="207"/>
      <c r="B11" s="223"/>
      <c r="C11" s="35"/>
      <c r="D11" s="193" t="s">
        <v>87</v>
      </c>
      <c r="E11" s="35" t="s">
        <v>55</v>
      </c>
      <c r="F11" s="35" t="s">
        <v>88</v>
      </c>
      <c r="G11" s="35" t="s">
        <v>89</v>
      </c>
      <c r="H11" s="35"/>
      <c r="I11" s="214"/>
      <c r="J11" s="223"/>
      <c r="K11" s="312"/>
      <c r="L11" s="37"/>
      <c r="M11" s="37"/>
      <c r="N11" s="193" t="s">
        <v>87</v>
      </c>
      <c r="O11" s="35" t="s">
        <v>55</v>
      </c>
      <c r="P11" s="35" t="s">
        <v>88</v>
      </c>
      <c r="Q11" s="35" t="s">
        <v>89</v>
      </c>
      <c r="R11" s="22"/>
      <c r="S11" s="22"/>
      <c r="T11" s="191"/>
      <c r="U11" s="22"/>
      <c r="W11" s="46" t="s">
        <v>48</v>
      </c>
      <c r="X11" s="200" t="s">
        <v>90</v>
      </c>
      <c r="Y11" s="47" t="s">
        <v>25</v>
      </c>
      <c r="AC11" s="346" t="s">
        <v>52</v>
      </c>
      <c r="BQ11" s="37"/>
      <c r="BR11" s="37"/>
      <c r="BS11" s="37"/>
      <c r="BT11" s="37"/>
    </row>
    <row r="12" spans="1:105" ht="15.75" customHeight="1" thickBot="1" x14ac:dyDescent="0.6">
      <c r="A12" s="210" t="s">
        <v>91</v>
      </c>
      <c r="B12" s="225"/>
      <c r="C12" s="202"/>
      <c r="D12" s="203"/>
      <c r="E12" s="202"/>
      <c r="F12" s="202"/>
      <c r="G12" s="202"/>
      <c r="H12" s="202"/>
      <c r="I12" s="217" t="s">
        <v>91</v>
      </c>
      <c r="J12" s="225"/>
      <c r="K12" s="338"/>
      <c r="L12" s="202"/>
      <c r="M12" s="202"/>
      <c r="N12" s="203"/>
      <c r="O12" s="202"/>
      <c r="P12" s="202"/>
      <c r="Q12" s="202"/>
      <c r="R12" s="202"/>
      <c r="S12" s="202"/>
      <c r="T12" s="203"/>
      <c r="U12" s="202"/>
      <c r="W12" s="49">
        <f>AL49-BC49</f>
        <v>29.999999999999545</v>
      </c>
      <c r="X12" s="50">
        <f>AM49-BD49</f>
        <v>27.865387331711418</v>
      </c>
      <c r="Y12" s="347">
        <f>X12/AM49</f>
        <v>-2.1137517729402113E-2</v>
      </c>
      <c r="AC12" s="348" t="str">
        <f>IFERROR(XIRR(BV18:BV47,V18:V47),"N/A")</f>
        <v>N/A</v>
      </c>
      <c r="AD12" s="119" t="s">
        <v>92</v>
      </c>
      <c r="BQ12" s="37"/>
      <c r="BR12" s="37"/>
      <c r="BS12" s="37"/>
      <c r="BT12" s="37"/>
    </row>
    <row r="13" spans="1:105" ht="15.75" customHeight="1" x14ac:dyDescent="0.55000000000000004">
      <c r="AA13" s="21"/>
      <c r="AB13" s="21"/>
      <c r="AC13" s="119"/>
      <c r="AD13" s="21"/>
    </row>
    <row r="14" spans="1:105" ht="15.75" customHeight="1" x14ac:dyDescent="0.45">
      <c r="B14" s="223" t="s">
        <v>93</v>
      </c>
      <c r="C14" s="206"/>
      <c r="F14" s="149" t="s">
        <v>94</v>
      </c>
      <c r="J14" s="223" t="s">
        <v>93</v>
      </c>
      <c r="O14" s="21" t="s">
        <v>95</v>
      </c>
      <c r="P14" s="21" t="s">
        <v>96</v>
      </c>
      <c r="Q14" s="21" t="s">
        <v>94</v>
      </c>
      <c r="V14" s="289"/>
      <c r="Y14" s="53" t="s">
        <v>55</v>
      </c>
      <c r="Z14" s="54"/>
      <c r="AA14" s="54"/>
      <c r="AB14" s="54"/>
      <c r="AC14" s="54"/>
      <c r="AD14" s="54"/>
      <c r="AE14" s="54"/>
      <c r="AF14" s="54"/>
      <c r="AG14" s="54"/>
      <c r="AH14" s="54"/>
      <c r="AI14" s="54"/>
      <c r="AJ14" s="55"/>
      <c r="AK14" s="56" t="s">
        <v>97</v>
      </c>
      <c r="AL14" s="57"/>
      <c r="AM14" s="58"/>
      <c r="AN14" s="39"/>
      <c r="AO14" s="59" t="s">
        <v>98</v>
      </c>
      <c r="AP14" s="60"/>
      <c r="AQ14" s="60"/>
      <c r="AR14" s="60"/>
      <c r="AS14" s="60"/>
      <c r="AT14" s="60"/>
      <c r="AU14" s="60"/>
      <c r="AV14" s="60"/>
      <c r="AW14" s="60"/>
      <c r="AX14" s="60"/>
      <c r="AY14" s="60"/>
      <c r="AZ14" s="60"/>
      <c r="BA14" s="60"/>
      <c r="BB14" s="60"/>
      <c r="BC14" s="61"/>
      <c r="BD14" s="61" t="s">
        <v>50</v>
      </c>
      <c r="BE14" s="24"/>
      <c r="BF14" s="22"/>
      <c r="BH14" s="62" t="s">
        <v>99</v>
      </c>
      <c r="BI14" s="63"/>
      <c r="BJ14" s="63"/>
      <c r="BK14" s="63"/>
      <c r="BL14" s="63"/>
      <c r="BM14" s="63"/>
      <c r="BN14" s="63"/>
      <c r="BO14" s="63"/>
      <c r="BP14" s="63"/>
      <c r="BQ14" s="63"/>
      <c r="BR14" s="63"/>
      <c r="BS14" s="63"/>
      <c r="BT14" s="63"/>
      <c r="BU14" s="63"/>
      <c r="BV14" s="64"/>
      <c r="BX14" s="65" t="s">
        <v>100</v>
      </c>
      <c r="BY14" s="45"/>
    </row>
    <row r="15" spans="1:105" ht="15.75" customHeight="1" x14ac:dyDescent="0.45">
      <c r="B15" s="223" t="s">
        <v>101</v>
      </c>
      <c r="D15" s="191" t="s">
        <v>102</v>
      </c>
      <c r="F15" s="329" t="s">
        <v>103</v>
      </c>
      <c r="J15" s="223"/>
      <c r="V15" s="289"/>
      <c r="Y15" s="53" t="s">
        <v>104</v>
      </c>
      <c r="Z15" s="54"/>
      <c r="AA15" s="54"/>
      <c r="AB15" s="54"/>
      <c r="AC15" s="66"/>
      <c r="AD15" s="53" t="s">
        <v>105</v>
      </c>
      <c r="AE15" s="54"/>
      <c r="AF15" s="54"/>
      <c r="AG15" s="54"/>
      <c r="AH15" s="54"/>
      <c r="AI15" s="67"/>
      <c r="AJ15" s="353" t="s">
        <v>50</v>
      </c>
      <c r="AK15" s="58"/>
      <c r="AL15" s="68"/>
      <c r="AM15" s="69" t="s">
        <v>50</v>
      </c>
      <c r="AN15" s="39"/>
      <c r="AO15" s="59" t="s">
        <v>104</v>
      </c>
      <c r="AP15" s="60"/>
      <c r="AQ15" s="60"/>
      <c r="AR15" s="60"/>
      <c r="AS15" s="70"/>
      <c r="AT15" s="60" t="s">
        <v>105</v>
      </c>
      <c r="AU15" s="60"/>
      <c r="AV15" s="60"/>
      <c r="AW15" s="60"/>
      <c r="AX15" s="60"/>
      <c r="AY15" s="60"/>
      <c r="AZ15" s="60"/>
      <c r="BA15" s="60"/>
      <c r="BB15" s="70"/>
      <c r="BC15" s="71" t="s">
        <v>50</v>
      </c>
      <c r="BD15" s="71" t="s">
        <v>106</v>
      </c>
      <c r="BE15" s="24"/>
      <c r="BF15" s="22"/>
      <c r="BH15" s="62" t="s">
        <v>104</v>
      </c>
      <c r="BI15" s="63"/>
      <c r="BJ15" s="63"/>
      <c r="BK15" s="63"/>
      <c r="BL15" s="63"/>
      <c r="BM15" s="63"/>
      <c r="BN15" s="72"/>
      <c r="BO15" s="62" t="s">
        <v>105</v>
      </c>
      <c r="BP15" s="63"/>
      <c r="BQ15" s="63"/>
      <c r="BR15" s="63"/>
      <c r="BS15" s="63"/>
      <c r="BT15" s="63"/>
      <c r="BU15" s="72"/>
      <c r="BV15" s="74"/>
      <c r="BX15" s="74"/>
      <c r="BY15" s="354" t="s">
        <v>107</v>
      </c>
    </row>
    <row r="16" spans="1:105" s="23" customFormat="1" ht="49.5" x14ac:dyDescent="0.45">
      <c r="B16" s="223"/>
      <c r="C16" s="21"/>
      <c r="D16" s="411"/>
      <c r="I16" s="355"/>
      <c r="J16" s="223"/>
      <c r="N16" s="411"/>
      <c r="V16" s="500" t="s">
        <v>108</v>
      </c>
      <c r="W16" s="501" t="s">
        <v>109</v>
      </c>
      <c r="X16" s="501" t="s">
        <v>13</v>
      </c>
      <c r="Y16" s="75" t="s">
        <v>110</v>
      </c>
      <c r="Z16" s="76" t="s">
        <v>111</v>
      </c>
      <c r="AA16" s="76" t="s">
        <v>112</v>
      </c>
      <c r="AB16" s="76" t="s">
        <v>113</v>
      </c>
      <c r="AC16" s="77" t="s">
        <v>114</v>
      </c>
      <c r="AD16" s="75" t="s">
        <v>115</v>
      </c>
      <c r="AE16" s="76" t="s">
        <v>116</v>
      </c>
      <c r="AF16" s="76" t="s">
        <v>117</v>
      </c>
      <c r="AG16" s="76" t="s">
        <v>118</v>
      </c>
      <c r="AH16" s="76" t="s">
        <v>119</v>
      </c>
      <c r="AI16" s="78" t="s">
        <v>120</v>
      </c>
      <c r="AJ16" s="79"/>
      <c r="AK16" s="356" t="s">
        <v>121</v>
      </c>
      <c r="AL16" s="78" t="s">
        <v>68</v>
      </c>
      <c r="AM16" s="80" t="s">
        <v>106</v>
      </c>
      <c r="AN16" s="39"/>
      <c r="AO16" s="81" t="s">
        <v>110</v>
      </c>
      <c r="AP16" s="82" t="s">
        <v>111</v>
      </c>
      <c r="AQ16" s="82" t="s">
        <v>112</v>
      </c>
      <c r="AR16" s="82" t="s">
        <v>122</v>
      </c>
      <c r="AS16" s="83" t="s">
        <v>114</v>
      </c>
      <c r="AT16" s="82" t="s">
        <v>123</v>
      </c>
      <c r="AU16" s="82" t="s">
        <v>124</v>
      </c>
      <c r="AV16" s="82" t="s">
        <v>125</v>
      </c>
      <c r="AW16" s="82" t="s">
        <v>126</v>
      </c>
      <c r="AX16" s="82" t="s">
        <v>127</v>
      </c>
      <c r="AY16" s="82" t="s">
        <v>128</v>
      </c>
      <c r="AZ16" s="82" t="s">
        <v>118</v>
      </c>
      <c r="BA16" s="82" t="s">
        <v>119</v>
      </c>
      <c r="BB16" s="83" t="s">
        <v>120</v>
      </c>
      <c r="BC16" s="84"/>
      <c r="BD16" s="83"/>
      <c r="BE16" s="24"/>
      <c r="BF16" s="85" t="s">
        <v>129</v>
      </c>
      <c r="BG16" s="24"/>
      <c r="BH16" s="86" t="s">
        <v>130</v>
      </c>
      <c r="BI16" s="87" t="s">
        <v>124</v>
      </c>
      <c r="BJ16" s="87" t="s">
        <v>125</v>
      </c>
      <c r="BK16" s="87" t="s">
        <v>126</v>
      </c>
      <c r="BL16" s="87" t="s">
        <v>128</v>
      </c>
      <c r="BM16" s="87" t="s">
        <v>113</v>
      </c>
      <c r="BN16" s="88" t="s">
        <v>114</v>
      </c>
      <c r="BO16" s="87" t="s">
        <v>131</v>
      </c>
      <c r="BP16" s="87" t="s">
        <v>132</v>
      </c>
      <c r="BQ16" s="87" t="s">
        <v>133</v>
      </c>
      <c r="BR16" s="87" t="s">
        <v>134</v>
      </c>
      <c r="BS16" s="87" t="s">
        <v>135</v>
      </c>
      <c r="BT16" s="87" t="s">
        <v>136</v>
      </c>
      <c r="BU16" s="87" t="s">
        <v>120</v>
      </c>
      <c r="BV16" s="89" t="s">
        <v>137</v>
      </c>
      <c r="BW16" s="22"/>
      <c r="BX16" s="89"/>
      <c r="BY16" s="90">
        <f>IF(SUM(BY18:BY47)=0,0,1)</f>
        <v>0</v>
      </c>
    </row>
    <row r="17" spans="1:77" ht="15.75" customHeight="1" x14ac:dyDescent="0.55000000000000004">
      <c r="B17" s="223" t="s">
        <v>138</v>
      </c>
      <c r="J17" s="223" t="s">
        <v>139</v>
      </c>
      <c r="N17" s="191" t="s">
        <v>14</v>
      </c>
      <c r="O17" s="91">
        <f>SUM(F18:F19)</f>
        <v>3</v>
      </c>
      <c r="V17" s="293"/>
      <c r="W17" s="301">
        <v>0</v>
      </c>
      <c r="X17" s="302" t="s">
        <v>140</v>
      </c>
      <c r="Y17" s="93"/>
      <c r="Z17" s="94"/>
      <c r="AA17" s="94"/>
      <c r="AB17" s="94"/>
      <c r="AC17" s="94"/>
      <c r="AD17" s="94"/>
      <c r="AE17" s="94"/>
      <c r="AF17" s="94"/>
      <c r="AG17" s="94"/>
      <c r="AH17" s="94"/>
      <c r="AI17" s="94"/>
      <c r="AJ17" s="94"/>
      <c r="AK17" s="94"/>
      <c r="AL17" s="96">
        <f>-SUM(O142,SUM(O136:O138))</f>
        <v>0</v>
      </c>
      <c r="AM17" s="97">
        <f>AL17*BF17</f>
        <v>0</v>
      </c>
      <c r="AN17" s="98"/>
      <c r="AO17" s="99"/>
      <c r="AP17" s="94"/>
      <c r="AQ17" s="94"/>
      <c r="AR17" s="94"/>
      <c r="AS17" s="94"/>
      <c r="AT17" s="94"/>
      <c r="AU17" s="94"/>
      <c r="AV17" s="94"/>
      <c r="AW17" s="94"/>
      <c r="AX17" s="360"/>
      <c r="AY17" s="94"/>
      <c r="AZ17" s="94"/>
      <c r="BA17" s="94"/>
      <c r="BB17" s="94"/>
      <c r="BC17" s="94"/>
      <c r="BD17" s="100"/>
      <c r="BE17" s="26"/>
      <c r="BF17" s="180">
        <v>1</v>
      </c>
      <c r="BH17" s="101"/>
      <c r="BI17" s="102"/>
      <c r="BJ17" s="102"/>
      <c r="BK17" s="102"/>
      <c r="BL17" s="102"/>
      <c r="BM17" s="102"/>
      <c r="BN17" s="102"/>
      <c r="BO17" s="102"/>
      <c r="BP17" s="102"/>
      <c r="BQ17" s="102"/>
      <c r="BR17" s="102"/>
      <c r="BS17" s="102"/>
      <c r="BT17" s="102"/>
      <c r="BU17" s="102"/>
      <c r="BV17" s="102"/>
      <c r="BW17" s="98"/>
      <c r="BX17" s="103"/>
      <c r="BY17" s="104"/>
    </row>
    <row r="18" spans="1:77" ht="15.75" customHeight="1" x14ac:dyDescent="0.45">
      <c r="B18" s="223"/>
      <c r="C18" s="21" t="s">
        <v>15</v>
      </c>
      <c r="D18" s="191" t="s">
        <v>14</v>
      </c>
      <c r="F18" s="150">
        <v>3</v>
      </c>
      <c r="V18" s="294">
        <f>IF(W18=1,DATE(YEAR($F$20)+(MONTH($F$20)&gt;=4),4,0),EOMONTH(V17,12))</f>
        <v>46477</v>
      </c>
      <c r="W18" s="366">
        <f>W17+1</f>
        <v>1</v>
      </c>
      <c r="X18" s="366" t="str">
        <f>IF(W18&lt;=$F$18,$C$18,IF(W18&gt;SUM($F$18:$F$19),"-",$C$19))</f>
        <v>整備期間</v>
      </c>
      <c r="Y18" s="106">
        <f t="shared" ref="Y18:Y47" si="0">IF($W18=$F$18,$O$78,0)</f>
        <v>0</v>
      </c>
      <c r="Z18" s="107">
        <f t="shared" ref="Z18:Z47" si="1">IF($W18=$F$18,$O$80,0)</f>
        <v>0</v>
      </c>
      <c r="AA18" s="107">
        <f t="shared" ref="AA18:AA47" si="2">IF($W18=$F$18,$O$79,0)</f>
        <v>0</v>
      </c>
      <c r="AB18" s="107">
        <f t="shared" ref="AB18:AB47" si="3">IF($X18="維持管理・運営期間",$F$72,0)</f>
        <v>0</v>
      </c>
      <c r="AC18" s="108">
        <f>SUM(Y18:AB18)</f>
        <v>0</v>
      </c>
      <c r="AD18" s="106">
        <f t="shared" ref="AD18:AD36" si="4">IF($W18=$F$18,$O$33,0)</f>
        <v>0</v>
      </c>
      <c r="AE18" s="107">
        <f t="shared" ref="AE18:AE47" si="5">IF($X18="維持管理・運営期間",$O$46,0)</f>
        <v>0</v>
      </c>
      <c r="AF18" s="107">
        <f>IF($X18=$C$18, $E$52, 0)+IF($X18=$C$19, $E$53, 0)</f>
        <v>0</v>
      </c>
      <c r="AG18" s="368">
        <f>IF(AND($W18&gt;$O$83, SUM($AA$17:AA17)&gt;0,SUM($AG$17:AG17)&lt;$O$79),$O$82,0)</f>
        <v>0</v>
      </c>
      <c r="AH18" s="107">
        <f>IF(SUM($AA17:$AA$18)&gt;0,($O$79-SUM($AG17:$AG$18))*$F$83,0)</f>
        <v>0</v>
      </c>
      <c r="AI18" s="108">
        <f>SUM(AD18:AH18)</f>
        <v>0</v>
      </c>
      <c r="AJ18" s="115">
        <f>SUM(AC18, -AI18)</f>
        <v>0</v>
      </c>
      <c r="AK18" s="115">
        <f t="shared" ref="AK18:AK20" si="6">MIN(0, AH18-BQ18)</f>
        <v>0</v>
      </c>
      <c r="AL18" s="109"/>
      <c r="AM18" s="108">
        <f t="shared" ref="AM18:AM36" si="7">AJ18*$BF18</f>
        <v>0</v>
      </c>
      <c r="AN18" s="110"/>
      <c r="AO18" s="106">
        <f t="shared" ref="AO18:AO47" si="8">IF($W18=$F$18,$P$78,0)</f>
        <v>0</v>
      </c>
      <c r="AP18" s="107">
        <f t="shared" ref="AP18:AP47" si="9">IF($W18=$F$18,$P$80,0)</f>
        <v>0</v>
      </c>
      <c r="AQ18" s="107">
        <f t="shared" ref="AQ18:AQ47" si="10">IF($W18=$F$18,$P$79,0)</f>
        <v>0</v>
      </c>
      <c r="AR18" s="107">
        <f t="shared" ref="AR18:AR47" si="11">IF($W18="-",0,IF($W18&lt;=$F$18,$P$129,IF($W18=$F$18+1,$P$130,$P$131)))</f>
        <v>0</v>
      </c>
      <c r="AS18" s="108">
        <f>SUM(AO18:AR18)</f>
        <v>0</v>
      </c>
      <c r="AT18" s="107">
        <f t="shared" ref="AT18:AT36" si="12">IF(W18=$F$18,$P$33,0)</f>
        <v>0</v>
      </c>
      <c r="AU18" s="107">
        <f t="shared" ref="AU18:AU47" si="13">IFERROR(-PPMT($P$40,W18-$F$18,$F$19,SUM(P$34,P$59)),0)</f>
        <v>0</v>
      </c>
      <c r="AV18" s="107">
        <f t="shared" ref="AV18:AV47" si="14">IFERROR(-IPMT($P$40,W18-$F$18,$F$19,SUM($P$34,$P$59)),0)</f>
        <v>0</v>
      </c>
      <c r="AW18" s="107">
        <f t="shared" ref="AW18:AW47" si="15">IF(AND(W18&gt;$F$18,W18&lt;=SUM($F$18:$F$19)),$P$48,0)</f>
        <v>0</v>
      </c>
      <c r="AX18" s="368">
        <f>IF($X18=$C$18, $F$52, 0)+IF($X18=$C$19, $F$53, 0)</f>
        <v>10</v>
      </c>
      <c r="AY18" s="107">
        <f t="shared" ref="AY18:AY47" si="16">IF(AND(W18&gt;$F$18,W18&lt;=SUM($F$18:$F$19)),$P$62,0)</f>
        <v>0</v>
      </c>
      <c r="AZ18" s="368">
        <f>IF(AND($W18&gt;$P$83, SUM($AQ$17:AQ17)&gt;0,SUM($AZ$17:AZ17)&lt;$P$79),$P$82,0)</f>
        <v>0</v>
      </c>
      <c r="BA18" s="107">
        <f>IF(SUM($AQ17:$AQ$18)&gt;0,($P$79-SUM($AZ17:$AZ$18))*$F$83,0)</f>
        <v>0</v>
      </c>
      <c r="BB18" s="108">
        <f>SUM(AT18:BA18)</f>
        <v>10</v>
      </c>
      <c r="BC18" s="107">
        <f>AS18-BB18</f>
        <v>-10</v>
      </c>
      <c r="BD18" s="108">
        <f t="shared" ref="BD18:BD36" si="17">BC18*$BF18</f>
        <v>-9.6354522977663102</v>
      </c>
      <c r="BE18" s="111"/>
      <c r="BF18" s="180">
        <f>1/(1+$O$25)</f>
        <v>0.96354522977663104</v>
      </c>
      <c r="BH18" s="112">
        <f>AT18</f>
        <v>0</v>
      </c>
      <c r="BI18" s="112">
        <f>AU18</f>
        <v>0</v>
      </c>
      <c r="BJ18" s="113">
        <f>AV18</f>
        <v>0</v>
      </c>
      <c r="BK18" s="113">
        <f>AW18</f>
        <v>0</v>
      </c>
      <c r="BL18" s="113">
        <f>AY18</f>
        <v>0</v>
      </c>
      <c r="BM18" s="107">
        <f t="shared" ref="BM18:BM47" si="18">IF($X18="維持管理・運営期間",$F$72,0)</f>
        <v>0</v>
      </c>
      <c r="BN18" s="114">
        <f t="shared" ref="BN18:BN36" si="19">SUM(BH18:BM18)</f>
        <v>0</v>
      </c>
      <c r="BO18" s="113">
        <f t="shared" ref="BO18:BO36" si="20">IF($W18=$F$18,$P$35,0)</f>
        <v>0</v>
      </c>
      <c r="BP18" s="113">
        <f t="shared" ref="BP18:BP47" si="21">IF(AND(W18&gt;$F$18,W18&lt;=SUM($F$18:$F$19)),$P$46,0)</f>
        <v>0</v>
      </c>
      <c r="BQ18" s="113">
        <f t="shared" ref="BQ18:BQ47" si="22">IFERROR(-IPMT($P$87,W18-$F$18,$F$19,$P$34),0)</f>
        <v>0</v>
      </c>
      <c r="BR18" s="113">
        <f t="shared" ref="BR18:BR47" si="23">IF($W18&lt;=$O$18,$F$137,0)</f>
        <v>0</v>
      </c>
      <c r="BS18" s="113">
        <f t="shared" ref="BS18:BS47" si="24">IF($W18=1,$O$136,0)</f>
        <v>0</v>
      </c>
      <c r="BT18" s="107">
        <f>IF($X18="-",0,IF($W18&lt;=$F$18,$P$105,IF($W18=$F$18+1,$P$106,$P$107)))</f>
        <v>0</v>
      </c>
      <c r="BU18" s="114">
        <f>SUM(BO18:BT18)</f>
        <v>0</v>
      </c>
      <c r="BV18" s="114">
        <f t="shared" ref="BV18:BV36" si="25">BN18-BU18</f>
        <v>0</v>
      </c>
      <c r="BW18" s="98"/>
      <c r="BX18" s="115">
        <f t="shared" ref="BX18:BX47" si="26">IFERROR(-PPMT($P$87,$W18-$F$18,$F$19,$P$34),0)</f>
        <v>0</v>
      </c>
      <c r="BY18" s="118">
        <f t="shared" ref="BY18:BY36" si="27">IF(W18&lt;=$F$18,0,IF(BV18&gt;=BX18,0,1))</f>
        <v>0</v>
      </c>
    </row>
    <row r="19" spans="1:77" ht="15.75" customHeight="1" x14ac:dyDescent="0.45">
      <c r="B19" s="223"/>
      <c r="C19" s="21" t="s">
        <v>141</v>
      </c>
      <c r="D19" s="191" t="s">
        <v>14</v>
      </c>
      <c r="F19" s="150">
        <v>0</v>
      </c>
      <c r="J19" s="120"/>
      <c r="V19" s="294">
        <f t="shared" ref="V19:V36" si="28">IF(W19=1,DATE(YEAR($F$20)+(MONTH($F$20)&gt;=4),4,0),EOMONTH(V18,12))</f>
        <v>46843</v>
      </c>
      <c r="W19" s="366">
        <f t="shared" ref="W19:W47" si="29">W18+1</f>
        <v>2</v>
      </c>
      <c r="X19" s="366" t="str">
        <f t="shared" ref="X19:X47" si="30">IF(W19&lt;=$F$18,$C$18,IF(W19&gt;SUM($F$18:$F$19),"-",$C$19))</f>
        <v>整備期間</v>
      </c>
      <c r="Y19" s="106">
        <f t="shared" si="0"/>
        <v>0</v>
      </c>
      <c r="Z19" s="107">
        <f t="shared" si="1"/>
        <v>0</v>
      </c>
      <c r="AA19" s="107">
        <f t="shared" si="2"/>
        <v>0</v>
      </c>
      <c r="AB19" s="107">
        <f t="shared" si="3"/>
        <v>0</v>
      </c>
      <c r="AC19" s="108">
        <f t="shared" ref="AC19:AC36" si="31">SUM(Y19:AB19)</f>
        <v>0</v>
      </c>
      <c r="AD19" s="106">
        <f t="shared" si="4"/>
        <v>0</v>
      </c>
      <c r="AE19" s="107">
        <f t="shared" si="5"/>
        <v>0</v>
      </c>
      <c r="AF19" s="107">
        <f t="shared" ref="AF19:AF47" si="32">IF($X19=$C$18, $E$52, 0)+IF($X19=$C$19, $E$53, 0)</f>
        <v>0</v>
      </c>
      <c r="AG19" s="368">
        <f>IF(AND($W19&gt;$O$83, SUM($AA$17:AA18)&gt;0,SUM($AG$17:AG18)&lt;$O$79),$O$82,0)</f>
        <v>0</v>
      </c>
      <c r="AH19" s="107">
        <f>IF(SUM($AA18:$AA$18)&gt;0,($O$79-SUM($AG18:$AG$18))*$F$83,0)</f>
        <v>0</v>
      </c>
      <c r="AI19" s="108">
        <f t="shared" ref="AI19:AI36" si="33">SUM(AD19:AH19)</f>
        <v>0</v>
      </c>
      <c r="AJ19" s="115">
        <f t="shared" ref="AJ19:AJ47" si="34">SUM(AC19, -AI19)</f>
        <v>0</v>
      </c>
      <c r="AK19" s="115">
        <f t="shared" si="6"/>
        <v>0</v>
      </c>
      <c r="AL19" s="109"/>
      <c r="AM19" s="114">
        <f t="shared" si="7"/>
        <v>0</v>
      </c>
      <c r="AN19" s="110"/>
      <c r="AO19" s="112">
        <f t="shared" si="8"/>
        <v>0</v>
      </c>
      <c r="AP19" s="113">
        <f t="shared" si="9"/>
        <v>0</v>
      </c>
      <c r="AQ19" s="113">
        <f t="shared" si="10"/>
        <v>0</v>
      </c>
      <c r="AR19" s="107">
        <f t="shared" si="11"/>
        <v>0</v>
      </c>
      <c r="AS19" s="108">
        <f t="shared" ref="AS19:AS36" si="35">SUM(AO19:AR19)</f>
        <v>0</v>
      </c>
      <c r="AT19" s="107">
        <f t="shared" si="12"/>
        <v>0</v>
      </c>
      <c r="AU19" s="107">
        <f t="shared" si="13"/>
        <v>0</v>
      </c>
      <c r="AV19" s="107">
        <f t="shared" si="14"/>
        <v>0</v>
      </c>
      <c r="AW19" s="107">
        <f t="shared" si="15"/>
        <v>0</v>
      </c>
      <c r="AX19" s="368">
        <f t="shared" ref="AX19:AX47" si="36">IF($X19=$C$18, $F$52, 0)+IF($X19=$C$19, $F$53, 0)</f>
        <v>10</v>
      </c>
      <c r="AY19" s="107">
        <f t="shared" si="16"/>
        <v>0</v>
      </c>
      <c r="AZ19" s="368">
        <f>IF(AND($W19&gt;$P$83, SUM($AQ$17:AQ18)&gt;0,SUM($AZ$17:AZ18)&lt;$P$79),$P$82,0)</f>
        <v>0</v>
      </c>
      <c r="BA19" s="107">
        <f>IF(SUM($AQ18:$AQ$18)&gt;0,($P$79-SUM($AZ18:$AZ$18))*$F$83,0)</f>
        <v>0</v>
      </c>
      <c r="BB19" s="108">
        <f t="shared" ref="BB19:BB36" si="37">SUM(AT19:BA19)</f>
        <v>10</v>
      </c>
      <c r="BC19" s="113">
        <f t="shared" ref="BC19:BC36" si="38">AS19-BB19</f>
        <v>-10</v>
      </c>
      <c r="BD19" s="114">
        <f t="shared" si="17"/>
        <v>-9.2841940982530069</v>
      </c>
      <c r="BE19" s="111"/>
      <c r="BF19" s="180">
        <f t="shared" ref="BF19:BF36" si="39">BF18/(1+$O$25)</f>
        <v>0.92841940982530069</v>
      </c>
      <c r="BH19" s="112">
        <f t="shared" ref="BH19:BK34" si="40">AT19</f>
        <v>0</v>
      </c>
      <c r="BI19" s="112">
        <f t="shared" si="40"/>
        <v>0</v>
      </c>
      <c r="BJ19" s="113">
        <f t="shared" si="40"/>
        <v>0</v>
      </c>
      <c r="BK19" s="113">
        <f t="shared" si="40"/>
        <v>0</v>
      </c>
      <c r="BL19" s="113">
        <f t="shared" ref="BL19:BL36" si="41">AY19</f>
        <v>0</v>
      </c>
      <c r="BM19" s="107">
        <f t="shared" si="18"/>
        <v>0</v>
      </c>
      <c r="BN19" s="114">
        <f t="shared" si="19"/>
        <v>0</v>
      </c>
      <c r="BO19" s="113">
        <f t="shared" si="20"/>
        <v>0</v>
      </c>
      <c r="BP19" s="113">
        <f t="shared" si="21"/>
        <v>0</v>
      </c>
      <c r="BQ19" s="113">
        <f t="shared" si="22"/>
        <v>0</v>
      </c>
      <c r="BR19" s="113">
        <f t="shared" si="23"/>
        <v>0</v>
      </c>
      <c r="BS19" s="113">
        <f t="shared" si="24"/>
        <v>0</v>
      </c>
      <c r="BT19" s="107">
        <f t="shared" ref="BT19:BT47" si="42">IF($X19="-",0,IF($W19&lt;=$F$18,$P$105,IF($W19=$F$18+1,$P$106,$P$107)))</f>
        <v>0</v>
      </c>
      <c r="BU19" s="114">
        <f t="shared" ref="BU19:BU36" si="43">SUM(BO19:BT19)</f>
        <v>0</v>
      </c>
      <c r="BV19" s="114">
        <f t="shared" si="25"/>
        <v>0</v>
      </c>
      <c r="BW19" s="98"/>
      <c r="BX19" s="115">
        <f t="shared" si="26"/>
        <v>0</v>
      </c>
      <c r="BY19" s="118">
        <f t="shared" si="27"/>
        <v>0</v>
      </c>
    </row>
    <row r="20" spans="1:77" ht="15.75" customHeight="1" x14ac:dyDescent="0.45">
      <c r="B20" s="223"/>
      <c r="C20" s="21" t="s">
        <v>142</v>
      </c>
      <c r="D20" s="191" t="s">
        <v>143</v>
      </c>
      <c r="F20" s="151">
        <v>46113</v>
      </c>
      <c r="J20" s="120"/>
      <c r="V20" s="294">
        <f t="shared" si="28"/>
        <v>47208</v>
      </c>
      <c r="W20" s="366">
        <f t="shared" si="29"/>
        <v>3</v>
      </c>
      <c r="X20" s="366" t="str">
        <f t="shared" si="30"/>
        <v>整備期間</v>
      </c>
      <c r="Y20" s="106">
        <f t="shared" si="0"/>
        <v>1140</v>
      </c>
      <c r="Z20" s="107">
        <f t="shared" si="1"/>
        <v>0</v>
      </c>
      <c r="AA20" s="107">
        <f t="shared" si="2"/>
        <v>1282.5</v>
      </c>
      <c r="AB20" s="107">
        <f t="shared" si="3"/>
        <v>0</v>
      </c>
      <c r="AC20" s="108">
        <f t="shared" si="31"/>
        <v>2422.5</v>
      </c>
      <c r="AD20" s="106">
        <f t="shared" si="4"/>
        <v>2850</v>
      </c>
      <c r="AE20" s="107">
        <f t="shared" si="5"/>
        <v>0</v>
      </c>
      <c r="AF20" s="107">
        <f t="shared" si="32"/>
        <v>0</v>
      </c>
      <c r="AG20" s="368">
        <f>IF(AND($W20&gt;$O$83, SUM($AA$17:AA19)&gt;0,SUM($AG$17:AG19)&lt;$O$79),$O$82,0)</f>
        <v>0</v>
      </c>
      <c r="AH20" s="107">
        <f>IF(SUM($AA$18:$AA19)&gt;0,($O$79-SUM($AG$18:$AG19))*$F$83,0)</f>
        <v>0</v>
      </c>
      <c r="AI20" s="108">
        <f t="shared" si="33"/>
        <v>2850</v>
      </c>
      <c r="AJ20" s="115">
        <f t="shared" si="34"/>
        <v>-427.5</v>
      </c>
      <c r="AK20" s="115">
        <f t="shared" si="6"/>
        <v>0</v>
      </c>
      <c r="AL20" s="277"/>
      <c r="AM20" s="264">
        <f t="shared" si="7"/>
        <v>-382.43042500083448</v>
      </c>
      <c r="AN20" s="278"/>
      <c r="AO20" s="266">
        <f t="shared" si="8"/>
        <v>1140</v>
      </c>
      <c r="AP20" s="263">
        <f t="shared" si="9"/>
        <v>0</v>
      </c>
      <c r="AQ20" s="263">
        <f t="shared" si="10"/>
        <v>1282.5</v>
      </c>
      <c r="AR20" s="260">
        <f t="shared" si="11"/>
        <v>0</v>
      </c>
      <c r="AS20" s="261">
        <f t="shared" si="35"/>
        <v>2422.5</v>
      </c>
      <c r="AT20" s="260">
        <f t="shared" si="12"/>
        <v>2850</v>
      </c>
      <c r="AU20" s="260">
        <f t="shared" si="13"/>
        <v>0</v>
      </c>
      <c r="AV20" s="260">
        <f t="shared" si="14"/>
        <v>0</v>
      </c>
      <c r="AW20" s="260">
        <f t="shared" si="15"/>
        <v>0</v>
      </c>
      <c r="AX20" s="368">
        <f t="shared" si="36"/>
        <v>10</v>
      </c>
      <c r="AY20" s="260">
        <f t="shared" si="16"/>
        <v>0</v>
      </c>
      <c r="AZ20" s="368">
        <f>IF(AND($W20&gt;$P$83, SUM($AQ$17:AQ19)&gt;0,SUM($AZ$17:AZ19)&lt;$P$79),$P$82,0)</f>
        <v>0</v>
      </c>
      <c r="BA20" s="107">
        <f>IF(SUM($AQ$18:$AQ19)&gt;0,($P$79-SUM($AZ$18:$AZ19))*$F$83,0)</f>
        <v>0</v>
      </c>
      <c r="BB20" s="261">
        <f t="shared" si="37"/>
        <v>2860</v>
      </c>
      <c r="BC20" s="263">
        <f t="shared" si="38"/>
        <v>-437.5</v>
      </c>
      <c r="BD20" s="264">
        <f t="shared" si="17"/>
        <v>-391.37616593652655</v>
      </c>
      <c r="BE20" s="279"/>
      <c r="BF20" s="180">
        <f t="shared" si="39"/>
        <v>0.89457409356920348</v>
      </c>
      <c r="BH20" s="266">
        <f t="shared" si="40"/>
        <v>2850</v>
      </c>
      <c r="BI20" s="266">
        <f t="shared" si="40"/>
        <v>0</v>
      </c>
      <c r="BJ20" s="263">
        <f t="shared" si="40"/>
        <v>0</v>
      </c>
      <c r="BK20" s="263">
        <f t="shared" si="40"/>
        <v>0</v>
      </c>
      <c r="BL20" s="263">
        <f t="shared" si="41"/>
        <v>0</v>
      </c>
      <c r="BM20" s="260">
        <f t="shared" si="18"/>
        <v>0</v>
      </c>
      <c r="BN20" s="264">
        <f t="shared" si="19"/>
        <v>2850</v>
      </c>
      <c r="BO20" s="263">
        <f t="shared" si="20"/>
        <v>2850</v>
      </c>
      <c r="BP20" s="263">
        <f t="shared" si="21"/>
        <v>0</v>
      </c>
      <c r="BQ20" s="263">
        <f t="shared" si="22"/>
        <v>0</v>
      </c>
      <c r="BR20" s="263">
        <f t="shared" si="23"/>
        <v>0</v>
      </c>
      <c r="BS20" s="263">
        <f t="shared" si="24"/>
        <v>0</v>
      </c>
      <c r="BT20" s="107">
        <f t="shared" si="42"/>
        <v>0</v>
      </c>
      <c r="BU20" s="264">
        <f t="shared" si="43"/>
        <v>2850</v>
      </c>
      <c r="BV20" s="264">
        <f t="shared" si="25"/>
        <v>0</v>
      </c>
      <c r="BW20" s="265"/>
      <c r="BX20" s="361">
        <f t="shared" si="26"/>
        <v>0</v>
      </c>
      <c r="BY20" s="499">
        <f t="shared" si="27"/>
        <v>0</v>
      </c>
    </row>
    <row r="21" spans="1:77" ht="15.75" customHeight="1" x14ac:dyDescent="0.45">
      <c r="B21" s="223"/>
      <c r="C21" s="116" t="s">
        <v>144</v>
      </c>
      <c r="D21" s="191" t="s">
        <v>143</v>
      </c>
      <c r="F21" s="152">
        <f>EOMONTH(F20,12*F18-1)</f>
        <v>47208</v>
      </c>
      <c r="J21" s="187"/>
      <c r="V21" s="294">
        <f t="shared" si="28"/>
        <v>47573</v>
      </c>
      <c r="W21" s="366">
        <f t="shared" si="29"/>
        <v>4</v>
      </c>
      <c r="X21" s="366" t="str">
        <f t="shared" si="30"/>
        <v>-</v>
      </c>
      <c r="Y21" s="106">
        <f t="shared" si="0"/>
        <v>0</v>
      </c>
      <c r="Z21" s="107">
        <f t="shared" si="1"/>
        <v>0</v>
      </c>
      <c r="AA21" s="107">
        <f t="shared" si="2"/>
        <v>0</v>
      </c>
      <c r="AB21" s="107">
        <f t="shared" si="3"/>
        <v>0</v>
      </c>
      <c r="AC21" s="108">
        <f t="shared" si="31"/>
        <v>0</v>
      </c>
      <c r="AD21" s="106">
        <f t="shared" si="4"/>
        <v>0</v>
      </c>
      <c r="AE21" s="107">
        <f t="shared" si="5"/>
        <v>0</v>
      </c>
      <c r="AF21" s="107">
        <f t="shared" si="32"/>
        <v>0</v>
      </c>
      <c r="AG21" s="368">
        <f>IF(AND($W21&gt;$O$83, SUM($AA$17:AA20)&gt;0,SUM($AG$17:AG20)&lt;$O$79),$O$82,0)</f>
        <v>0</v>
      </c>
      <c r="AH21" s="107">
        <f>IF(SUM($AA$18:$AA20)&gt;0,($O$79-SUM($AG$18:$AG20))*$F$83,0)</f>
        <v>25.008749999999999</v>
      </c>
      <c r="AI21" s="108">
        <f t="shared" si="33"/>
        <v>25.008749999999999</v>
      </c>
      <c r="AJ21" s="115">
        <f t="shared" si="34"/>
        <v>-25.008749999999999</v>
      </c>
      <c r="AK21" s="115">
        <f>MIN(0, AH21-BQ21)</f>
        <v>0</v>
      </c>
      <c r="AL21" s="277"/>
      <c r="AM21" s="264">
        <f t="shared" si="7"/>
        <v>-21.556607186263715</v>
      </c>
      <c r="AN21" s="278"/>
      <c r="AO21" s="266">
        <f t="shared" si="8"/>
        <v>0</v>
      </c>
      <c r="AP21" s="263">
        <f t="shared" si="9"/>
        <v>0</v>
      </c>
      <c r="AQ21" s="263">
        <f t="shared" si="10"/>
        <v>0</v>
      </c>
      <c r="AR21" s="260">
        <f t="shared" si="11"/>
        <v>0</v>
      </c>
      <c r="AS21" s="261">
        <f t="shared" si="35"/>
        <v>0</v>
      </c>
      <c r="AT21" s="260">
        <f t="shared" si="12"/>
        <v>0</v>
      </c>
      <c r="AU21" s="260">
        <f t="shared" si="13"/>
        <v>0</v>
      </c>
      <c r="AV21" s="260">
        <f t="shared" si="14"/>
        <v>0</v>
      </c>
      <c r="AW21" s="260">
        <f t="shared" si="15"/>
        <v>0</v>
      </c>
      <c r="AX21" s="368">
        <f t="shared" si="36"/>
        <v>0</v>
      </c>
      <c r="AY21" s="260">
        <f t="shared" si="16"/>
        <v>0</v>
      </c>
      <c r="AZ21" s="368">
        <f>IF(AND($W21&gt;$P$83, SUM($AQ$17:AQ20)&gt;0,SUM($AZ$17:AZ20)&lt;$P$79),$P$82,0)</f>
        <v>0</v>
      </c>
      <c r="BA21" s="107">
        <f>IF(SUM($AQ$18:$AQ20)&gt;0,($P$79-SUM($AZ$18:$AZ20))*$F$83,0)</f>
        <v>25.008749999999999</v>
      </c>
      <c r="BB21" s="261">
        <f t="shared" si="37"/>
        <v>25.008749999999999</v>
      </c>
      <c r="BC21" s="263">
        <f t="shared" si="38"/>
        <v>-25.008749999999999</v>
      </c>
      <c r="BD21" s="264">
        <f t="shared" si="17"/>
        <v>-21.556607186263715</v>
      </c>
      <c r="BE21" s="279"/>
      <c r="BF21" s="180">
        <f t="shared" si="39"/>
        <v>0.86196260054035956</v>
      </c>
      <c r="BH21" s="266">
        <f t="shared" si="40"/>
        <v>0</v>
      </c>
      <c r="BI21" s="266">
        <f t="shared" si="40"/>
        <v>0</v>
      </c>
      <c r="BJ21" s="263">
        <f t="shared" si="40"/>
        <v>0</v>
      </c>
      <c r="BK21" s="263">
        <f t="shared" si="40"/>
        <v>0</v>
      </c>
      <c r="BL21" s="263">
        <f t="shared" si="41"/>
        <v>0</v>
      </c>
      <c r="BM21" s="260">
        <f t="shared" si="18"/>
        <v>0</v>
      </c>
      <c r="BN21" s="264">
        <f t="shared" si="19"/>
        <v>0</v>
      </c>
      <c r="BO21" s="263">
        <f t="shared" si="20"/>
        <v>0</v>
      </c>
      <c r="BP21" s="263">
        <f t="shared" si="21"/>
        <v>0</v>
      </c>
      <c r="BQ21" s="263">
        <f t="shared" si="22"/>
        <v>0</v>
      </c>
      <c r="BR21" s="263">
        <f t="shared" si="23"/>
        <v>0</v>
      </c>
      <c r="BS21" s="263">
        <f t="shared" si="24"/>
        <v>0</v>
      </c>
      <c r="BT21" s="107">
        <f t="shared" si="42"/>
        <v>0</v>
      </c>
      <c r="BU21" s="264">
        <f t="shared" si="43"/>
        <v>0</v>
      </c>
      <c r="BV21" s="264">
        <f t="shared" si="25"/>
        <v>0</v>
      </c>
      <c r="BW21" s="265"/>
      <c r="BX21" s="361">
        <f t="shared" si="26"/>
        <v>0</v>
      </c>
      <c r="BY21" s="499">
        <f t="shared" si="27"/>
        <v>0</v>
      </c>
    </row>
    <row r="22" spans="1:77" ht="15.75" customHeight="1" x14ac:dyDescent="0.45">
      <c r="B22" s="223"/>
      <c r="C22" s="21" t="s">
        <v>145</v>
      </c>
      <c r="D22" s="191" t="s">
        <v>143</v>
      </c>
      <c r="F22" s="152">
        <f>F21+1</f>
        <v>47209</v>
      </c>
      <c r="V22" s="294">
        <f t="shared" si="28"/>
        <v>47938</v>
      </c>
      <c r="W22" s="366">
        <f t="shared" si="29"/>
        <v>5</v>
      </c>
      <c r="X22" s="366" t="str">
        <f t="shared" si="30"/>
        <v>-</v>
      </c>
      <c r="Y22" s="106">
        <f t="shared" si="0"/>
        <v>0</v>
      </c>
      <c r="Z22" s="107">
        <f t="shared" si="1"/>
        <v>0</v>
      </c>
      <c r="AA22" s="107">
        <f t="shared" si="2"/>
        <v>0</v>
      </c>
      <c r="AB22" s="107">
        <f t="shared" si="3"/>
        <v>0</v>
      </c>
      <c r="AC22" s="108">
        <f t="shared" si="31"/>
        <v>0</v>
      </c>
      <c r="AD22" s="106">
        <f t="shared" si="4"/>
        <v>0</v>
      </c>
      <c r="AE22" s="107">
        <f t="shared" si="5"/>
        <v>0</v>
      </c>
      <c r="AF22" s="107">
        <f t="shared" si="32"/>
        <v>0</v>
      </c>
      <c r="AG22" s="368">
        <f>IF(AND($W22&gt;$O$83, SUM($AA$17:AA21)&gt;0,SUM($AG$17:AG21)&lt;$O$79),$O$82,0)</f>
        <v>0</v>
      </c>
      <c r="AH22" s="107">
        <f>IF(SUM($AA$18:$AA21)&gt;0,($O$79-SUM($AG$18:$AG21))*$F$83,0)</f>
        <v>25.008749999999999</v>
      </c>
      <c r="AI22" s="108">
        <f t="shared" si="33"/>
        <v>25.008749999999999</v>
      </c>
      <c r="AJ22" s="115">
        <f t="shared" si="34"/>
        <v>-25.008749999999999</v>
      </c>
      <c r="AK22" s="115">
        <f t="shared" ref="AK22:AK47" si="44">MIN(0, AH22-BQ22)</f>
        <v>0</v>
      </c>
      <c r="AL22" s="277"/>
      <c r="AM22" s="264">
        <f t="shared" si="7"/>
        <v>-20.770766024493049</v>
      </c>
      <c r="AN22" s="278"/>
      <c r="AO22" s="266">
        <f t="shared" si="8"/>
        <v>0</v>
      </c>
      <c r="AP22" s="263">
        <f t="shared" si="9"/>
        <v>0</v>
      </c>
      <c r="AQ22" s="263">
        <f t="shared" si="10"/>
        <v>0</v>
      </c>
      <c r="AR22" s="260">
        <f t="shared" si="11"/>
        <v>0</v>
      </c>
      <c r="AS22" s="261">
        <f t="shared" si="35"/>
        <v>0</v>
      </c>
      <c r="AT22" s="260">
        <f t="shared" si="12"/>
        <v>0</v>
      </c>
      <c r="AU22" s="260">
        <f t="shared" si="13"/>
        <v>0</v>
      </c>
      <c r="AV22" s="260">
        <f t="shared" si="14"/>
        <v>0</v>
      </c>
      <c r="AW22" s="260">
        <f t="shared" si="15"/>
        <v>0</v>
      </c>
      <c r="AX22" s="368">
        <f t="shared" si="36"/>
        <v>0</v>
      </c>
      <c r="AY22" s="260">
        <f t="shared" si="16"/>
        <v>0</v>
      </c>
      <c r="AZ22" s="368">
        <f>IF(AND($W22&gt;$P$83, SUM($AQ$17:AQ21)&gt;0,SUM($AZ$17:AZ21)&lt;$P$79),$P$82,0)</f>
        <v>0</v>
      </c>
      <c r="BA22" s="107">
        <f>IF(SUM($AQ$18:$AQ21)&gt;0,($P$79-SUM($AZ$18:$AZ21))*$F$83,0)</f>
        <v>25.008749999999999</v>
      </c>
      <c r="BB22" s="261">
        <f t="shared" si="37"/>
        <v>25.008749999999999</v>
      </c>
      <c r="BC22" s="263">
        <f t="shared" si="38"/>
        <v>-25.008749999999999</v>
      </c>
      <c r="BD22" s="264">
        <f t="shared" si="17"/>
        <v>-20.770766024493049</v>
      </c>
      <c r="BE22" s="279"/>
      <c r="BF22" s="180">
        <f t="shared" si="39"/>
        <v>0.8305399519965232</v>
      </c>
      <c r="BH22" s="266">
        <f t="shared" si="40"/>
        <v>0</v>
      </c>
      <c r="BI22" s="266">
        <f t="shared" si="40"/>
        <v>0</v>
      </c>
      <c r="BJ22" s="263">
        <f t="shared" si="40"/>
        <v>0</v>
      </c>
      <c r="BK22" s="263">
        <f t="shared" si="40"/>
        <v>0</v>
      </c>
      <c r="BL22" s="263">
        <f t="shared" si="41"/>
        <v>0</v>
      </c>
      <c r="BM22" s="260">
        <f t="shared" si="18"/>
        <v>0</v>
      </c>
      <c r="BN22" s="264">
        <f t="shared" si="19"/>
        <v>0</v>
      </c>
      <c r="BO22" s="263">
        <f t="shared" si="20"/>
        <v>0</v>
      </c>
      <c r="BP22" s="263">
        <f t="shared" si="21"/>
        <v>0</v>
      </c>
      <c r="BQ22" s="263">
        <f t="shared" si="22"/>
        <v>0</v>
      </c>
      <c r="BR22" s="263">
        <f t="shared" si="23"/>
        <v>0</v>
      </c>
      <c r="BS22" s="263">
        <f t="shared" si="24"/>
        <v>0</v>
      </c>
      <c r="BT22" s="107">
        <f t="shared" si="42"/>
        <v>0</v>
      </c>
      <c r="BU22" s="264">
        <f t="shared" si="43"/>
        <v>0</v>
      </c>
      <c r="BV22" s="264">
        <f t="shared" si="25"/>
        <v>0</v>
      </c>
      <c r="BW22" s="265"/>
      <c r="BX22" s="361">
        <f t="shared" si="26"/>
        <v>0</v>
      </c>
      <c r="BY22" s="499">
        <f t="shared" si="27"/>
        <v>0</v>
      </c>
    </row>
    <row r="23" spans="1:77" ht="15.75" customHeight="1" x14ac:dyDescent="0.45">
      <c r="B23" s="223"/>
      <c r="C23" s="21" t="s">
        <v>146</v>
      </c>
      <c r="D23" s="191" t="s">
        <v>143</v>
      </c>
      <c r="F23" s="152">
        <f>EOMONTH(F22,12*F19-1)</f>
        <v>47208</v>
      </c>
      <c r="I23" s="332"/>
      <c r="V23" s="294">
        <f t="shared" si="28"/>
        <v>48304</v>
      </c>
      <c r="W23" s="366">
        <f t="shared" si="29"/>
        <v>6</v>
      </c>
      <c r="X23" s="366" t="str">
        <f t="shared" si="30"/>
        <v>-</v>
      </c>
      <c r="Y23" s="106">
        <f t="shared" si="0"/>
        <v>0</v>
      </c>
      <c r="Z23" s="107">
        <f t="shared" si="1"/>
        <v>0</v>
      </c>
      <c r="AA23" s="107">
        <f t="shared" si="2"/>
        <v>0</v>
      </c>
      <c r="AB23" s="107">
        <f t="shared" si="3"/>
        <v>0</v>
      </c>
      <c r="AC23" s="108">
        <f t="shared" si="31"/>
        <v>0</v>
      </c>
      <c r="AD23" s="106">
        <f t="shared" si="4"/>
        <v>0</v>
      </c>
      <c r="AE23" s="107">
        <f t="shared" si="5"/>
        <v>0</v>
      </c>
      <c r="AF23" s="107">
        <f t="shared" si="32"/>
        <v>0</v>
      </c>
      <c r="AG23" s="368">
        <f>IF(AND($W23&gt;$O$83, SUM($AA$17:AA22)&gt;0,SUM($AG$17:AG22)&lt;$O$79),$O$82,0)</f>
        <v>0</v>
      </c>
      <c r="AH23" s="107">
        <f>IF(SUM($AA$18:$AA22)&gt;0,($O$79-SUM($AG$18:$AG22))*$F$83,0)</f>
        <v>25.008749999999999</v>
      </c>
      <c r="AI23" s="108">
        <f t="shared" si="33"/>
        <v>25.008749999999999</v>
      </c>
      <c r="AJ23" s="115">
        <f t="shared" si="34"/>
        <v>-25.008749999999999</v>
      </c>
      <c r="AK23" s="115">
        <f t="shared" si="44"/>
        <v>0</v>
      </c>
      <c r="AL23" s="277"/>
      <c r="AM23" s="264">
        <f t="shared" si="7"/>
        <v>-20.013572521706795</v>
      </c>
      <c r="AN23" s="278"/>
      <c r="AO23" s="266">
        <f t="shared" si="8"/>
        <v>0</v>
      </c>
      <c r="AP23" s="263">
        <f t="shared" si="9"/>
        <v>0</v>
      </c>
      <c r="AQ23" s="263">
        <f t="shared" si="10"/>
        <v>0</v>
      </c>
      <c r="AR23" s="260">
        <f t="shared" si="11"/>
        <v>0</v>
      </c>
      <c r="AS23" s="261">
        <f t="shared" si="35"/>
        <v>0</v>
      </c>
      <c r="AT23" s="260">
        <f t="shared" si="12"/>
        <v>0</v>
      </c>
      <c r="AU23" s="260">
        <f t="shared" si="13"/>
        <v>0</v>
      </c>
      <c r="AV23" s="260">
        <f t="shared" si="14"/>
        <v>0</v>
      </c>
      <c r="AW23" s="260">
        <f t="shared" si="15"/>
        <v>0</v>
      </c>
      <c r="AX23" s="368">
        <f t="shared" si="36"/>
        <v>0</v>
      </c>
      <c r="AY23" s="260">
        <f t="shared" si="16"/>
        <v>0</v>
      </c>
      <c r="AZ23" s="368">
        <f>IF(AND($W23&gt;$P$83, SUM($AQ$17:AQ22)&gt;0,SUM($AZ$17:AZ22)&lt;$P$79),$P$82,0)</f>
        <v>0</v>
      </c>
      <c r="BA23" s="107">
        <f>IF(SUM($AQ$18:$AQ22)&gt;0,($P$79-SUM($AZ$18:$AZ22))*$F$83,0)</f>
        <v>25.008749999999999</v>
      </c>
      <c r="BB23" s="261">
        <f t="shared" si="37"/>
        <v>25.008749999999999</v>
      </c>
      <c r="BC23" s="263">
        <f t="shared" si="38"/>
        <v>-25.008749999999999</v>
      </c>
      <c r="BD23" s="264">
        <f t="shared" si="17"/>
        <v>-20.013572521706795</v>
      </c>
      <c r="BE23" s="279"/>
      <c r="BF23" s="180">
        <f t="shared" si="39"/>
        <v>0.80026280888516199</v>
      </c>
      <c r="BH23" s="266">
        <f t="shared" si="40"/>
        <v>0</v>
      </c>
      <c r="BI23" s="266">
        <f t="shared" si="40"/>
        <v>0</v>
      </c>
      <c r="BJ23" s="263">
        <f t="shared" si="40"/>
        <v>0</v>
      </c>
      <c r="BK23" s="263">
        <f t="shared" si="40"/>
        <v>0</v>
      </c>
      <c r="BL23" s="263">
        <f t="shared" si="41"/>
        <v>0</v>
      </c>
      <c r="BM23" s="260">
        <f t="shared" si="18"/>
        <v>0</v>
      </c>
      <c r="BN23" s="264">
        <f t="shared" si="19"/>
        <v>0</v>
      </c>
      <c r="BO23" s="263">
        <f t="shared" si="20"/>
        <v>0</v>
      </c>
      <c r="BP23" s="263">
        <f t="shared" si="21"/>
        <v>0</v>
      </c>
      <c r="BQ23" s="263">
        <f t="shared" si="22"/>
        <v>0</v>
      </c>
      <c r="BR23" s="263">
        <f t="shared" si="23"/>
        <v>0</v>
      </c>
      <c r="BS23" s="263">
        <f t="shared" si="24"/>
        <v>0</v>
      </c>
      <c r="BT23" s="107">
        <f t="shared" si="42"/>
        <v>0</v>
      </c>
      <c r="BU23" s="264">
        <f t="shared" si="43"/>
        <v>0</v>
      </c>
      <c r="BV23" s="264">
        <f t="shared" si="25"/>
        <v>0</v>
      </c>
      <c r="BW23" s="265"/>
      <c r="BX23" s="361">
        <f t="shared" si="26"/>
        <v>0</v>
      </c>
      <c r="BY23" s="499">
        <f t="shared" si="27"/>
        <v>0</v>
      </c>
    </row>
    <row r="24" spans="1:77" ht="15.75" customHeight="1" x14ac:dyDescent="0.3">
      <c r="B24" s="223"/>
      <c r="V24" s="294">
        <f t="shared" si="28"/>
        <v>48669</v>
      </c>
      <c r="W24" s="366">
        <f t="shared" si="29"/>
        <v>7</v>
      </c>
      <c r="X24" s="366" t="str">
        <f t="shared" si="30"/>
        <v>-</v>
      </c>
      <c r="Y24" s="106">
        <f t="shared" si="0"/>
        <v>0</v>
      </c>
      <c r="Z24" s="107">
        <f t="shared" si="1"/>
        <v>0</v>
      </c>
      <c r="AA24" s="107">
        <f t="shared" si="2"/>
        <v>0</v>
      </c>
      <c r="AB24" s="107">
        <f t="shared" si="3"/>
        <v>0</v>
      </c>
      <c r="AC24" s="108">
        <f t="shared" si="31"/>
        <v>0</v>
      </c>
      <c r="AD24" s="106">
        <f t="shared" si="4"/>
        <v>0</v>
      </c>
      <c r="AE24" s="107">
        <f t="shared" si="5"/>
        <v>0</v>
      </c>
      <c r="AF24" s="107">
        <f t="shared" si="32"/>
        <v>0</v>
      </c>
      <c r="AG24" s="368">
        <f>IF(AND($W24&gt;$O$83, SUM($AA$17:AA23)&gt;0,SUM($AG$17:AG23)&lt;$O$79),$O$82,0)</f>
        <v>64.125</v>
      </c>
      <c r="AH24" s="107">
        <f>IF(SUM($AA$18:$AA23)&gt;0,($O$79-SUM($AG$18:$AG23))*$F$83,0)</f>
        <v>25.008749999999999</v>
      </c>
      <c r="AI24" s="108">
        <f t="shared" si="33"/>
        <v>89.133749999999992</v>
      </c>
      <c r="AJ24" s="115">
        <f t="shared" si="34"/>
        <v>-89.133749999999992</v>
      </c>
      <c r="AK24" s="115">
        <f t="shared" si="44"/>
        <v>0</v>
      </c>
      <c r="AL24" s="277"/>
      <c r="AM24" s="264">
        <f t="shared" si="7"/>
        <v>-68.730090883000372</v>
      </c>
      <c r="AN24" s="278"/>
      <c r="AO24" s="266">
        <f t="shared" si="8"/>
        <v>0</v>
      </c>
      <c r="AP24" s="263">
        <f t="shared" si="9"/>
        <v>0</v>
      </c>
      <c r="AQ24" s="263">
        <f t="shared" si="10"/>
        <v>0</v>
      </c>
      <c r="AR24" s="260">
        <f t="shared" si="11"/>
        <v>0</v>
      </c>
      <c r="AS24" s="261">
        <f t="shared" si="35"/>
        <v>0</v>
      </c>
      <c r="AT24" s="260">
        <f t="shared" si="12"/>
        <v>0</v>
      </c>
      <c r="AU24" s="260">
        <f t="shared" si="13"/>
        <v>0</v>
      </c>
      <c r="AV24" s="260">
        <f t="shared" si="14"/>
        <v>0</v>
      </c>
      <c r="AW24" s="260">
        <f t="shared" si="15"/>
        <v>0</v>
      </c>
      <c r="AX24" s="368">
        <f t="shared" si="36"/>
        <v>0</v>
      </c>
      <c r="AY24" s="260">
        <f t="shared" si="16"/>
        <v>0</v>
      </c>
      <c r="AZ24" s="368">
        <f>IF(AND($W24&gt;$P$83, SUM($AQ$17:AQ23)&gt;0,SUM($AZ$17:AZ23)&lt;$P$79),$P$82,0)</f>
        <v>64.125</v>
      </c>
      <c r="BA24" s="107">
        <f>IF(SUM($AQ$18:$AQ23)&gt;0,($P$79-SUM($AZ$18:$AZ23))*$F$83,0)</f>
        <v>25.008749999999999</v>
      </c>
      <c r="BB24" s="261">
        <f t="shared" si="37"/>
        <v>89.133749999999992</v>
      </c>
      <c r="BC24" s="263">
        <f t="shared" si="38"/>
        <v>-89.133749999999992</v>
      </c>
      <c r="BD24" s="264">
        <f t="shared" si="17"/>
        <v>-68.730090883000372</v>
      </c>
      <c r="BE24" s="279"/>
      <c r="BF24" s="180">
        <f t="shared" si="39"/>
        <v>0.77108941206894555</v>
      </c>
      <c r="BH24" s="266">
        <f t="shared" si="40"/>
        <v>0</v>
      </c>
      <c r="BI24" s="266">
        <f t="shared" si="40"/>
        <v>0</v>
      </c>
      <c r="BJ24" s="263">
        <f t="shared" si="40"/>
        <v>0</v>
      </c>
      <c r="BK24" s="263">
        <f t="shared" si="40"/>
        <v>0</v>
      </c>
      <c r="BL24" s="263">
        <f t="shared" si="41"/>
        <v>0</v>
      </c>
      <c r="BM24" s="260">
        <f t="shared" si="18"/>
        <v>0</v>
      </c>
      <c r="BN24" s="264">
        <f t="shared" si="19"/>
        <v>0</v>
      </c>
      <c r="BO24" s="263">
        <f t="shared" si="20"/>
        <v>0</v>
      </c>
      <c r="BP24" s="263">
        <f t="shared" si="21"/>
        <v>0</v>
      </c>
      <c r="BQ24" s="263">
        <f t="shared" si="22"/>
        <v>0</v>
      </c>
      <c r="BR24" s="263">
        <f t="shared" si="23"/>
        <v>0</v>
      </c>
      <c r="BS24" s="263">
        <f t="shared" si="24"/>
        <v>0</v>
      </c>
      <c r="BT24" s="107">
        <f t="shared" si="42"/>
        <v>0</v>
      </c>
      <c r="BU24" s="264">
        <f t="shared" si="43"/>
        <v>0</v>
      </c>
      <c r="BV24" s="264">
        <f t="shared" si="25"/>
        <v>0</v>
      </c>
      <c r="BW24" s="265"/>
      <c r="BX24" s="361">
        <f t="shared" si="26"/>
        <v>0</v>
      </c>
      <c r="BY24" s="499">
        <f t="shared" si="27"/>
        <v>0</v>
      </c>
    </row>
    <row r="25" spans="1:77" ht="15.75" customHeight="1" x14ac:dyDescent="0.3">
      <c r="B25" s="226" t="s">
        <v>147</v>
      </c>
      <c r="J25" s="223" t="s">
        <v>148</v>
      </c>
      <c r="N25" s="191" t="s">
        <v>25</v>
      </c>
      <c r="O25" s="121">
        <f>SUM(F26:F27)</f>
        <v>3.7833999999999993E-2</v>
      </c>
      <c r="V25" s="294">
        <f t="shared" si="28"/>
        <v>49034</v>
      </c>
      <c r="W25" s="366">
        <f t="shared" si="29"/>
        <v>8</v>
      </c>
      <c r="X25" s="366" t="str">
        <f t="shared" si="30"/>
        <v>-</v>
      </c>
      <c r="Y25" s="106">
        <f t="shared" si="0"/>
        <v>0</v>
      </c>
      <c r="Z25" s="107">
        <f t="shared" si="1"/>
        <v>0</v>
      </c>
      <c r="AA25" s="107">
        <f t="shared" si="2"/>
        <v>0</v>
      </c>
      <c r="AB25" s="107">
        <f t="shared" si="3"/>
        <v>0</v>
      </c>
      <c r="AC25" s="108">
        <f t="shared" si="31"/>
        <v>0</v>
      </c>
      <c r="AD25" s="106">
        <f t="shared" si="4"/>
        <v>0</v>
      </c>
      <c r="AE25" s="107">
        <f t="shared" si="5"/>
        <v>0</v>
      </c>
      <c r="AF25" s="107">
        <f t="shared" si="32"/>
        <v>0</v>
      </c>
      <c r="AG25" s="368">
        <f>IF(AND($W25&gt;$O$83, SUM($AA$17:AA24)&gt;0,SUM($AG$17:AG24)&lt;$O$79),$O$82,0)</f>
        <v>64.125</v>
      </c>
      <c r="AH25" s="107">
        <f>IF(SUM($AA$18:$AA24)&gt;0,($O$79-SUM($AG$18:$AG24))*$F$83,0)</f>
        <v>23.758312499999999</v>
      </c>
      <c r="AI25" s="108">
        <f t="shared" si="33"/>
        <v>87.883312500000002</v>
      </c>
      <c r="AJ25" s="115">
        <f t="shared" si="34"/>
        <v>-87.883312500000002</v>
      </c>
      <c r="AK25" s="115">
        <f t="shared" si="44"/>
        <v>0</v>
      </c>
      <c r="AL25" s="277"/>
      <c r="AM25" s="264">
        <f t="shared" si="7"/>
        <v>-65.295501752974388</v>
      </c>
      <c r="AN25" s="278"/>
      <c r="AO25" s="266">
        <f t="shared" si="8"/>
        <v>0</v>
      </c>
      <c r="AP25" s="263">
        <f t="shared" si="9"/>
        <v>0</v>
      </c>
      <c r="AQ25" s="263">
        <f t="shared" si="10"/>
        <v>0</v>
      </c>
      <c r="AR25" s="260">
        <f t="shared" si="11"/>
        <v>0</v>
      </c>
      <c r="AS25" s="261">
        <f t="shared" si="35"/>
        <v>0</v>
      </c>
      <c r="AT25" s="260">
        <f t="shared" si="12"/>
        <v>0</v>
      </c>
      <c r="AU25" s="260">
        <f t="shared" si="13"/>
        <v>0</v>
      </c>
      <c r="AV25" s="260">
        <f t="shared" si="14"/>
        <v>0</v>
      </c>
      <c r="AW25" s="260">
        <f t="shared" si="15"/>
        <v>0</v>
      </c>
      <c r="AX25" s="368">
        <f t="shared" si="36"/>
        <v>0</v>
      </c>
      <c r="AY25" s="260">
        <f t="shared" si="16"/>
        <v>0</v>
      </c>
      <c r="AZ25" s="368">
        <f>IF(AND($W25&gt;$P$83, SUM($AQ$17:AQ24)&gt;0,SUM($AZ$17:AZ24)&lt;$P$79),$P$82,0)</f>
        <v>64.125</v>
      </c>
      <c r="BA25" s="107">
        <f>IF(SUM($AQ$18:$AQ24)&gt;0,($P$79-SUM($AZ$18:$AZ24))*$F$83,0)</f>
        <v>23.758312499999999</v>
      </c>
      <c r="BB25" s="261">
        <f t="shared" si="37"/>
        <v>87.883312500000002</v>
      </c>
      <c r="BC25" s="263">
        <f t="shared" si="38"/>
        <v>-87.883312500000002</v>
      </c>
      <c r="BD25" s="264">
        <f t="shared" si="17"/>
        <v>-65.295501752974388</v>
      </c>
      <c r="BE25" s="279"/>
      <c r="BF25" s="180">
        <f t="shared" si="39"/>
        <v>0.74297952473029949</v>
      </c>
      <c r="BH25" s="266">
        <f t="shared" si="40"/>
        <v>0</v>
      </c>
      <c r="BI25" s="266">
        <f t="shared" si="40"/>
        <v>0</v>
      </c>
      <c r="BJ25" s="263">
        <f t="shared" si="40"/>
        <v>0</v>
      </c>
      <c r="BK25" s="263">
        <f t="shared" si="40"/>
        <v>0</v>
      </c>
      <c r="BL25" s="263">
        <f t="shared" si="41"/>
        <v>0</v>
      </c>
      <c r="BM25" s="260">
        <f t="shared" si="18"/>
        <v>0</v>
      </c>
      <c r="BN25" s="264">
        <f t="shared" si="19"/>
        <v>0</v>
      </c>
      <c r="BO25" s="263">
        <f t="shared" si="20"/>
        <v>0</v>
      </c>
      <c r="BP25" s="263">
        <f t="shared" si="21"/>
        <v>0</v>
      </c>
      <c r="BQ25" s="263">
        <f t="shared" si="22"/>
        <v>0</v>
      </c>
      <c r="BR25" s="263">
        <f t="shared" si="23"/>
        <v>0</v>
      </c>
      <c r="BS25" s="263">
        <f t="shared" si="24"/>
        <v>0</v>
      </c>
      <c r="BT25" s="107">
        <f t="shared" si="42"/>
        <v>0</v>
      </c>
      <c r="BU25" s="264">
        <f t="shared" si="43"/>
        <v>0</v>
      </c>
      <c r="BV25" s="264">
        <f t="shared" si="25"/>
        <v>0</v>
      </c>
      <c r="BW25" s="265"/>
      <c r="BX25" s="361">
        <f t="shared" si="26"/>
        <v>0</v>
      </c>
      <c r="BY25" s="499">
        <f t="shared" si="27"/>
        <v>0</v>
      </c>
    </row>
    <row r="26" spans="1:77" ht="15.75" customHeight="1" x14ac:dyDescent="0.45">
      <c r="B26" s="223"/>
      <c r="C26" s="21" t="s">
        <v>149</v>
      </c>
      <c r="D26" s="191" t="s">
        <v>49</v>
      </c>
      <c r="F26" s="153">
        <v>1.7833999999999999E-2</v>
      </c>
      <c r="V26" s="294">
        <f t="shared" si="28"/>
        <v>49399</v>
      </c>
      <c r="W26" s="366">
        <f t="shared" si="29"/>
        <v>9</v>
      </c>
      <c r="X26" s="366" t="str">
        <f t="shared" si="30"/>
        <v>-</v>
      </c>
      <c r="Y26" s="106">
        <f t="shared" si="0"/>
        <v>0</v>
      </c>
      <c r="Z26" s="107">
        <f t="shared" si="1"/>
        <v>0</v>
      </c>
      <c r="AA26" s="107">
        <f t="shared" si="2"/>
        <v>0</v>
      </c>
      <c r="AB26" s="107">
        <f t="shared" si="3"/>
        <v>0</v>
      </c>
      <c r="AC26" s="108">
        <f t="shared" si="31"/>
        <v>0</v>
      </c>
      <c r="AD26" s="106">
        <f t="shared" si="4"/>
        <v>0</v>
      </c>
      <c r="AE26" s="107">
        <f t="shared" si="5"/>
        <v>0</v>
      </c>
      <c r="AF26" s="107">
        <f t="shared" si="32"/>
        <v>0</v>
      </c>
      <c r="AG26" s="368">
        <f>IF(AND($W26&gt;$O$83, SUM($AA$17:AA25)&gt;0,SUM($AG$17:AG25)&lt;$O$79),$O$82,0)</f>
        <v>64.125</v>
      </c>
      <c r="AH26" s="107">
        <f>IF(SUM($AA$18:$AA25)&gt;0,($O$79-SUM($AG$18:$AG25))*$F$83,0)</f>
        <v>22.507874999999999</v>
      </c>
      <c r="AI26" s="108">
        <f t="shared" si="33"/>
        <v>86.632874999999999</v>
      </c>
      <c r="AJ26" s="115">
        <f t="shared" si="34"/>
        <v>-86.632874999999999</v>
      </c>
      <c r="AK26" s="115">
        <f t="shared" si="44"/>
        <v>0</v>
      </c>
      <c r="AL26" s="277"/>
      <c r="AM26" s="264">
        <f t="shared" si="7"/>
        <v>-62.019988065065753</v>
      </c>
      <c r="AN26" s="278"/>
      <c r="AO26" s="266">
        <f t="shared" si="8"/>
        <v>0</v>
      </c>
      <c r="AP26" s="263">
        <f t="shared" si="9"/>
        <v>0</v>
      </c>
      <c r="AQ26" s="263">
        <f t="shared" si="10"/>
        <v>0</v>
      </c>
      <c r="AR26" s="260">
        <f t="shared" si="11"/>
        <v>0</v>
      </c>
      <c r="AS26" s="261">
        <f t="shared" si="35"/>
        <v>0</v>
      </c>
      <c r="AT26" s="260">
        <f t="shared" si="12"/>
        <v>0</v>
      </c>
      <c r="AU26" s="260">
        <f t="shared" si="13"/>
        <v>0</v>
      </c>
      <c r="AV26" s="260">
        <f t="shared" si="14"/>
        <v>0</v>
      </c>
      <c r="AW26" s="260">
        <f t="shared" si="15"/>
        <v>0</v>
      </c>
      <c r="AX26" s="368">
        <f t="shared" si="36"/>
        <v>0</v>
      </c>
      <c r="AY26" s="260">
        <f t="shared" si="16"/>
        <v>0</v>
      </c>
      <c r="AZ26" s="368">
        <f>IF(AND($W26&gt;$P$83, SUM($AQ$17:AQ25)&gt;0,SUM($AZ$17:AZ25)&lt;$P$79),$P$82,0)</f>
        <v>64.125</v>
      </c>
      <c r="BA26" s="107">
        <f>IF(SUM($AQ$18:$AQ25)&gt;0,($P$79-SUM($AZ$18:$AZ25))*$F$83,0)</f>
        <v>22.507874999999999</v>
      </c>
      <c r="BB26" s="261">
        <f t="shared" si="37"/>
        <v>86.632874999999999</v>
      </c>
      <c r="BC26" s="263">
        <f t="shared" si="38"/>
        <v>-86.632874999999999</v>
      </c>
      <c r="BD26" s="264">
        <f t="shared" si="17"/>
        <v>-62.019988065065753</v>
      </c>
      <c r="BE26" s="279"/>
      <c r="BF26" s="180">
        <f t="shared" si="39"/>
        <v>0.71589437687558855</v>
      </c>
      <c r="BH26" s="266">
        <f t="shared" si="40"/>
        <v>0</v>
      </c>
      <c r="BI26" s="266">
        <f t="shared" si="40"/>
        <v>0</v>
      </c>
      <c r="BJ26" s="263">
        <f t="shared" si="40"/>
        <v>0</v>
      </c>
      <c r="BK26" s="263">
        <f t="shared" si="40"/>
        <v>0</v>
      </c>
      <c r="BL26" s="263">
        <f t="shared" si="41"/>
        <v>0</v>
      </c>
      <c r="BM26" s="260">
        <f t="shared" si="18"/>
        <v>0</v>
      </c>
      <c r="BN26" s="264">
        <f t="shared" si="19"/>
        <v>0</v>
      </c>
      <c r="BO26" s="263">
        <f t="shared" si="20"/>
        <v>0</v>
      </c>
      <c r="BP26" s="263">
        <f t="shared" si="21"/>
        <v>0</v>
      </c>
      <c r="BQ26" s="263">
        <f t="shared" si="22"/>
        <v>0</v>
      </c>
      <c r="BR26" s="263">
        <f t="shared" si="23"/>
        <v>0</v>
      </c>
      <c r="BS26" s="263">
        <f t="shared" si="24"/>
        <v>0</v>
      </c>
      <c r="BT26" s="107">
        <f t="shared" si="42"/>
        <v>0</v>
      </c>
      <c r="BU26" s="264">
        <f t="shared" si="43"/>
        <v>0</v>
      </c>
      <c r="BV26" s="264">
        <f t="shared" si="25"/>
        <v>0</v>
      </c>
      <c r="BW26" s="265"/>
      <c r="BX26" s="361">
        <f t="shared" si="26"/>
        <v>0</v>
      </c>
      <c r="BY26" s="499">
        <f t="shared" si="27"/>
        <v>0</v>
      </c>
    </row>
    <row r="27" spans="1:77" ht="13.5" customHeight="1" x14ac:dyDescent="0.45">
      <c r="B27" s="223"/>
      <c r="C27" s="21" t="s">
        <v>58</v>
      </c>
      <c r="D27" s="191" t="s">
        <v>49</v>
      </c>
      <c r="F27" s="434">
        <f>事業費用概算!J33</f>
        <v>1.9999999999999997E-2</v>
      </c>
      <c r="V27" s="294">
        <f t="shared" si="28"/>
        <v>49765</v>
      </c>
      <c r="W27" s="366">
        <f t="shared" si="29"/>
        <v>10</v>
      </c>
      <c r="X27" s="366" t="str">
        <f t="shared" si="30"/>
        <v>-</v>
      </c>
      <c r="Y27" s="106">
        <f t="shared" si="0"/>
        <v>0</v>
      </c>
      <c r="Z27" s="107">
        <f t="shared" si="1"/>
        <v>0</v>
      </c>
      <c r="AA27" s="107">
        <f t="shared" si="2"/>
        <v>0</v>
      </c>
      <c r="AB27" s="107">
        <f t="shared" si="3"/>
        <v>0</v>
      </c>
      <c r="AC27" s="108">
        <f t="shared" si="31"/>
        <v>0</v>
      </c>
      <c r="AD27" s="106">
        <f t="shared" si="4"/>
        <v>0</v>
      </c>
      <c r="AE27" s="107">
        <f t="shared" si="5"/>
        <v>0</v>
      </c>
      <c r="AF27" s="107">
        <f t="shared" si="32"/>
        <v>0</v>
      </c>
      <c r="AG27" s="368">
        <f>IF(AND($W27&gt;$O$83, SUM($AA$17:AA26)&gt;0,SUM($AG$17:AG26)&lt;$O$79),$O$82,0)</f>
        <v>64.125</v>
      </c>
      <c r="AH27" s="107">
        <f>IF(SUM($AA$18:$AA26)&gt;0,($O$79-SUM($AG$18:$AG26))*$F$83,0)</f>
        <v>21.257437499999998</v>
      </c>
      <c r="AI27" s="108">
        <f t="shared" si="33"/>
        <v>85.382437499999995</v>
      </c>
      <c r="AJ27" s="115">
        <f t="shared" si="34"/>
        <v>-85.382437499999995</v>
      </c>
      <c r="AK27" s="115">
        <f t="shared" si="44"/>
        <v>0</v>
      </c>
      <c r="AL27" s="277"/>
      <c r="AM27" s="264">
        <f t="shared" si="7"/>
        <v>-58.896516100052018</v>
      </c>
      <c r="AN27" s="278"/>
      <c r="AO27" s="266">
        <f t="shared" si="8"/>
        <v>0</v>
      </c>
      <c r="AP27" s="263">
        <f t="shared" si="9"/>
        <v>0</v>
      </c>
      <c r="AQ27" s="263">
        <f t="shared" si="10"/>
        <v>0</v>
      </c>
      <c r="AR27" s="260">
        <f t="shared" si="11"/>
        <v>0</v>
      </c>
      <c r="AS27" s="261">
        <f t="shared" si="35"/>
        <v>0</v>
      </c>
      <c r="AT27" s="260">
        <f t="shared" si="12"/>
        <v>0</v>
      </c>
      <c r="AU27" s="260">
        <f t="shared" si="13"/>
        <v>0</v>
      </c>
      <c r="AV27" s="260">
        <f t="shared" si="14"/>
        <v>0</v>
      </c>
      <c r="AW27" s="260">
        <f t="shared" si="15"/>
        <v>0</v>
      </c>
      <c r="AX27" s="368">
        <f t="shared" si="36"/>
        <v>0</v>
      </c>
      <c r="AY27" s="260">
        <f t="shared" si="16"/>
        <v>0</v>
      </c>
      <c r="AZ27" s="368">
        <f>IF(AND($W27&gt;$P$83, SUM($AQ$17:AQ26)&gt;0,SUM($AZ$17:AZ26)&lt;$P$79),$P$82,0)</f>
        <v>64.125</v>
      </c>
      <c r="BA27" s="107">
        <f>IF(SUM($AQ$18:$AQ26)&gt;0,($P$79-SUM($AZ$18:$AZ26))*$F$83,0)</f>
        <v>21.257437499999998</v>
      </c>
      <c r="BB27" s="261">
        <f t="shared" si="37"/>
        <v>85.382437499999995</v>
      </c>
      <c r="BC27" s="263">
        <f t="shared" si="38"/>
        <v>-85.382437499999995</v>
      </c>
      <c r="BD27" s="264">
        <f t="shared" si="17"/>
        <v>-58.896516100052018</v>
      </c>
      <c r="BE27" s="279"/>
      <c r="BF27" s="180">
        <f t="shared" si="39"/>
        <v>0.68979661186238705</v>
      </c>
      <c r="BH27" s="266">
        <f t="shared" si="40"/>
        <v>0</v>
      </c>
      <c r="BI27" s="266">
        <f t="shared" si="40"/>
        <v>0</v>
      </c>
      <c r="BJ27" s="263">
        <f t="shared" si="40"/>
        <v>0</v>
      </c>
      <c r="BK27" s="263">
        <f t="shared" si="40"/>
        <v>0</v>
      </c>
      <c r="BL27" s="263">
        <f t="shared" si="41"/>
        <v>0</v>
      </c>
      <c r="BM27" s="260">
        <f t="shared" si="18"/>
        <v>0</v>
      </c>
      <c r="BN27" s="264">
        <f t="shared" si="19"/>
        <v>0</v>
      </c>
      <c r="BO27" s="263">
        <f t="shared" si="20"/>
        <v>0</v>
      </c>
      <c r="BP27" s="263">
        <f t="shared" si="21"/>
        <v>0</v>
      </c>
      <c r="BQ27" s="263">
        <f t="shared" si="22"/>
        <v>0</v>
      </c>
      <c r="BR27" s="263">
        <f t="shared" si="23"/>
        <v>0</v>
      </c>
      <c r="BS27" s="263">
        <f t="shared" si="24"/>
        <v>0</v>
      </c>
      <c r="BT27" s="107">
        <f t="shared" si="42"/>
        <v>0</v>
      </c>
      <c r="BU27" s="264">
        <f t="shared" si="43"/>
        <v>0</v>
      </c>
      <c r="BV27" s="264">
        <f t="shared" si="25"/>
        <v>0</v>
      </c>
      <c r="BW27" s="265"/>
      <c r="BX27" s="361">
        <f t="shared" si="26"/>
        <v>0</v>
      </c>
      <c r="BY27" s="499">
        <f t="shared" si="27"/>
        <v>0</v>
      </c>
    </row>
    <row r="28" spans="1:77" ht="13.5" customHeight="1" x14ac:dyDescent="0.45">
      <c r="B28" s="223"/>
      <c r="F28" s="385"/>
      <c r="V28" s="294">
        <f t="shared" si="28"/>
        <v>50130</v>
      </c>
      <c r="W28" s="366">
        <f t="shared" si="29"/>
        <v>11</v>
      </c>
      <c r="X28" s="366" t="str">
        <f t="shared" si="30"/>
        <v>-</v>
      </c>
      <c r="Y28" s="106">
        <f t="shared" si="0"/>
        <v>0</v>
      </c>
      <c r="Z28" s="107">
        <f t="shared" si="1"/>
        <v>0</v>
      </c>
      <c r="AA28" s="107">
        <f t="shared" si="2"/>
        <v>0</v>
      </c>
      <c r="AB28" s="107">
        <f t="shared" si="3"/>
        <v>0</v>
      </c>
      <c r="AC28" s="108">
        <f t="shared" si="31"/>
        <v>0</v>
      </c>
      <c r="AD28" s="106">
        <f t="shared" si="4"/>
        <v>0</v>
      </c>
      <c r="AE28" s="107">
        <f t="shared" si="5"/>
        <v>0</v>
      </c>
      <c r="AF28" s="107">
        <f t="shared" si="32"/>
        <v>0</v>
      </c>
      <c r="AG28" s="368">
        <f>IF(AND($W28&gt;$O$83, SUM($AA$17:AA27)&gt;0,SUM($AG$17:AG27)&lt;$O$79),$O$82,0)</f>
        <v>64.125</v>
      </c>
      <c r="AH28" s="107">
        <f>IF(SUM($AA$18:$AA27)&gt;0,($O$79-SUM($AG$18:$AG27))*$F$83,0)</f>
        <v>20.007000000000001</v>
      </c>
      <c r="AI28" s="108">
        <f t="shared" si="33"/>
        <v>84.132000000000005</v>
      </c>
      <c r="AJ28" s="115">
        <f t="shared" si="34"/>
        <v>-84.132000000000005</v>
      </c>
      <c r="AK28" s="115">
        <f t="shared" si="44"/>
        <v>0</v>
      </c>
      <c r="AL28" s="277"/>
      <c r="AM28" s="264">
        <f t="shared" si="7"/>
        <v>-55.918353560594817</v>
      </c>
      <c r="AN28" s="278"/>
      <c r="AO28" s="266">
        <f t="shared" si="8"/>
        <v>0</v>
      </c>
      <c r="AP28" s="263">
        <f t="shared" si="9"/>
        <v>0</v>
      </c>
      <c r="AQ28" s="263">
        <f t="shared" si="10"/>
        <v>0</v>
      </c>
      <c r="AR28" s="260">
        <f t="shared" si="11"/>
        <v>0</v>
      </c>
      <c r="AS28" s="261">
        <f t="shared" si="35"/>
        <v>0</v>
      </c>
      <c r="AT28" s="260">
        <f t="shared" si="12"/>
        <v>0</v>
      </c>
      <c r="AU28" s="260">
        <f t="shared" si="13"/>
        <v>0</v>
      </c>
      <c r="AV28" s="260">
        <f t="shared" si="14"/>
        <v>0</v>
      </c>
      <c r="AW28" s="260">
        <f t="shared" si="15"/>
        <v>0</v>
      </c>
      <c r="AX28" s="368">
        <f t="shared" si="36"/>
        <v>0</v>
      </c>
      <c r="AY28" s="260">
        <f t="shared" si="16"/>
        <v>0</v>
      </c>
      <c r="AZ28" s="368">
        <f>IF(AND($W28&gt;$P$83, SUM($AQ$17:AQ27)&gt;0,SUM($AZ$17:AZ27)&lt;$P$79),$P$82,0)</f>
        <v>64.125</v>
      </c>
      <c r="BA28" s="107">
        <f>IF(SUM($AQ$18:$AQ27)&gt;0,($P$79-SUM($AZ$18:$AZ27))*$F$83,0)</f>
        <v>20.007000000000001</v>
      </c>
      <c r="BB28" s="261">
        <f t="shared" si="37"/>
        <v>84.132000000000005</v>
      </c>
      <c r="BC28" s="263">
        <f t="shared" si="38"/>
        <v>-84.132000000000005</v>
      </c>
      <c r="BD28" s="264">
        <f t="shared" si="17"/>
        <v>-55.918353560594817</v>
      </c>
      <c r="BE28" s="279"/>
      <c r="BF28" s="180">
        <f t="shared" si="39"/>
        <v>0.66465023487608532</v>
      </c>
      <c r="BH28" s="266">
        <f t="shared" si="40"/>
        <v>0</v>
      </c>
      <c r="BI28" s="266">
        <f t="shared" si="40"/>
        <v>0</v>
      </c>
      <c r="BJ28" s="263">
        <f t="shared" si="40"/>
        <v>0</v>
      </c>
      <c r="BK28" s="263">
        <f t="shared" si="40"/>
        <v>0</v>
      </c>
      <c r="BL28" s="263">
        <f t="shared" si="41"/>
        <v>0</v>
      </c>
      <c r="BM28" s="260">
        <f t="shared" si="18"/>
        <v>0</v>
      </c>
      <c r="BN28" s="264">
        <f t="shared" si="19"/>
        <v>0</v>
      </c>
      <c r="BO28" s="263">
        <f t="shared" si="20"/>
        <v>0</v>
      </c>
      <c r="BP28" s="263">
        <f t="shared" si="21"/>
        <v>0</v>
      </c>
      <c r="BQ28" s="263">
        <f t="shared" si="22"/>
        <v>0</v>
      </c>
      <c r="BR28" s="263">
        <f t="shared" si="23"/>
        <v>0</v>
      </c>
      <c r="BS28" s="263">
        <f t="shared" si="24"/>
        <v>0</v>
      </c>
      <c r="BT28" s="107">
        <f t="shared" si="42"/>
        <v>0</v>
      </c>
      <c r="BU28" s="264">
        <f t="shared" si="43"/>
        <v>0</v>
      </c>
      <c r="BV28" s="264">
        <f t="shared" si="25"/>
        <v>0</v>
      </c>
      <c r="BW28" s="265"/>
      <c r="BX28" s="361">
        <f t="shared" si="26"/>
        <v>0</v>
      </c>
      <c r="BY28" s="499">
        <f t="shared" si="27"/>
        <v>0</v>
      </c>
    </row>
    <row r="29" spans="1:77" ht="15.75" customHeight="1" thickBot="1" x14ac:dyDescent="0.35">
      <c r="A29" s="210" t="s">
        <v>17</v>
      </c>
      <c r="B29" s="225"/>
      <c r="C29" s="202"/>
      <c r="D29" s="203"/>
      <c r="E29" s="202"/>
      <c r="F29" s="202"/>
      <c r="G29" s="202"/>
      <c r="H29" s="204"/>
      <c r="I29" s="219" t="s">
        <v>150</v>
      </c>
      <c r="J29" s="225"/>
      <c r="K29" s="338"/>
      <c r="L29" s="202"/>
      <c r="M29" s="202"/>
      <c r="N29" s="203"/>
      <c r="O29" s="202"/>
      <c r="P29" s="202"/>
      <c r="Q29" s="202"/>
      <c r="R29" s="202"/>
      <c r="S29" s="202"/>
      <c r="T29" s="203"/>
      <c r="U29" s="202"/>
      <c r="V29" s="294">
        <f t="shared" si="28"/>
        <v>50495</v>
      </c>
      <c r="W29" s="366">
        <f t="shared" si="29"/>
        <v>12</v>
      </c>
      <c r="X29" s="366" t="str">
        <f t="shared" si="30"/>
        <v>-</v>
      </c>
      <c r="Y29" s="106">
        <f t="shared" si="0"/>
        <v>0</v>
      </c>
      <c r="Z29" s="107">
        <f t="shared" si="1"/>
        <v>0</v>
      </c>
      <c r="AA29" s="107">
        <f t="shared" si="2"/>
        <v>0</v>
      </c>
      <c r="AB29" s="107">
        <f t="shared" si="3"/>
        <v>0</v>
      </c>
      <c r="AC29" s="108">
        <f t="shared" si="31"/>
        <v>0</v>
      </c>
      <c r="AD29" s="106">
        <f t="shared" si="4"/>
        <v>0</v>
      </c>
      <c r="AE29" s="107">
        <f t="shared" si="5"/>
        <v>0</v>
      </c>
      <c r="AF29" s="107">
        <f t="shared" si="32"/>
        <v>0</v>
      </c>
      <c r="AG29" s="368">
        <f>IF(AND($W29&gt;$O$83, SUM($AA$17:AA28)&gt;0,SUM($AG$17:AG28)&lt;$O$79),$O$82,0)</f>
        <v>64.125</v>
      </c>
      <c r="AH29" s="107">
        <f>IF(SUM($AA$18:$AA28)&gt;0,($O$79-SUM($AG$18:$AG28))*$F$83,0)</f>
        <v>18.756562500000001</v>
      </c>
      <c r="AI29" s="108">
        <f t="shared" si="33"/>
        <v>82.881562500000001</v>
      </c>
      <c r="AJ29" s="115">
        <f t="shared" si="34"/>
        <v>-82.881562500000001</v>
      </c>
      <c r="AK29" s="115">
        <f t="shared" si="44"/>
        <v>0</v>
      </c>
      <c r="AL29" s="277"/>
      <c r="AM29" s="264">
        <f t="shared" si="7"/>
        <v>-53.079056942171817</v>
      </c>
      <c r="AN29" s="278"/>
      <c r="AO29" s="266">
        <f t="shared" si="8"/>
        <v>0</v>
      </c>
      <c r="AP29" s="263">
        <f t="shared" si="9"/>
        <v>0</v>
      </c>
      <c r="AQ29" s="263">
        <f t="shared" si="10"/>
        <v>0</v>
      </c>
      <c r="AR29" s="260">
        <f t="shared" si="11"/>
        <v>0</v>
      </c>
      <c r="AS29" s="261">
        <f t="shared" si="35"/>
        <v>0</v>
      </c>
      <c r="AT29" s="260">
        <f t="shared" si="12"/>
        <v>0</v>
      </c>
      <c r="AU29" s="260">
        <f t="shared" si="13"/>
        <v>0</v>
      </c>
      <c r="AV29" s="260">
        <f t="shared" si="14"/>
        <v>0</v>
      </c>
      <c r="AW29" s="260">
        <f t="shared" si="15"/>
        <v>0</v>
      </c>
      <c r="AX29" s="368">
        <f t="shared" si="36"/>
        <v>0</v>
      </c>
      <c r="AY29" s="260">
        <f t="shared" si="16"/>
        <v>0</v>
      </c>
      <c r="AZ29" s="368">
        <f>IF(AND($W29&gt;$P$83, SUM($AQ$17:AQ28)&gt;0,SUM($AZ$17:AZ28)&lt;$P$79),$P$82,0)</f>
        <v>64.125</v>
      </c>
      <c r="BA29" s="107">
        <f>IF(SUM($AQ$18:$AQ28)&gt;0,($P$79-SUM($AZ$18:$AZ28))*$F$83,0)</f>
        <v>18.756562500000001</v>
      </c>
      <c r="BB29" s="261">
        <f t="shared" si="37"/>
        <v>82.881562500000001</v>
      </c>
      <c r="BC29" s="263">
        <f t="shared" si="38"/>
        <v>-82.881562500000001</v>
      </c>
      <c r="BD29" s="264">
        <f t="shared" si="17"/>
        <v>-53.079056942171817</v>
      </c>
      <c r="BE29" s="279"/>
      <c r="BF29" s="180">
        <f t="shared" si="39"/>
        <v>0.64042056328476937</v>
      </c>
      <c r="BH29" s="266">
        <f t="shared" si="40"/>
        <v>0</v>
      </c>
      <c r="BI29" s="266">
        <f t="shared" si="40"/>
        <v>0</v>
      </c>
      <c r="BJ29" s="263">
        <f t="shared" si="40"/>
        <v>0</v>
      </c>
      <c r="BK29" s="263">
        <f t="shared" si="40"/>
        <v>0</v>
      </c>
      <c r="BL29" s="263">
        <f t="shared" si="41"/>
        <v>0</v>
      </c>
      <c r="BM29" s="260">
        <f t="shared" si="18"/>
        <v>0</v>
      </c>
      <c r="BN29" s="264">
        <f t="shared" si="19"/>
        <v>0</v>
      </c>
      <c r="BO29" s="263">
        <f t="shared" si="20"/>
        <v>0</v>
      </c>
      <c r="BP29" s="263">
        <f t="shared" si="21"/>
        <v>0</v>
      </c>
      <c r="BQ29" s="263">
        <f t="shared" si="22"/>
        <v>0</v>
      </c>
      <c r="BR29" s="263">
        <f t="shared" si="23"/>
        <v>0</v>
      </c>
      <c r="BS29" s="263">
        <f t="shared" si="24"/>
        <v>0</v>
      </c>
      <c r="BT29" s="107">
        <f t="shared" si="42"/>
        <v>0</v>
      </c>
      <c r="BU29" s="264">
        <f t="shared" si="43"/>
        <v>0</v>
      </c>
      <c r="BV29" s="264">
        <f t="shared" si="25"/>
        <v>0</v>
      </c>
      <c r="BW29" s="265"/>
      <c r="BX29" s="361">
        <f t="shared" si="26"/>
        <v>0</v>
      </c>
      <c r="BY29" s="499">
        <f t="shared" si="27"/>
        <v>0</v>
      </c>
    </row>
    <row r="30" spans="1:77" ht="13.5" customHeight="1" x14ac:dyDescent="0.3">
      <c r="B30" s="223"/>
      <c r="V30" s="294">
        <f t="shared" si="28"/>
        <v>50860</v>
      </c>
      <c r="W30" s="366">
        <f t="shared" si="29"/>
        <v>13</v>
      </c>
      <c r="X30" s="366" t="str">
        <f t="shared" si="30"/>
        <v>-</v>
      </c>
      <c r="Y30" s="106">
        <f t="shared" si="0"/>
        <v>0</v>
      </c>
      <c r="Z30" s="107">
        <f t="shared" si="1"/>
        <v>0</v>
      </c>
      <c r="AA30" s="107">
        <f t="shared" si="2"/>
        <v>0</v>
      </c>
      <c r="AB30" s="107">
        <f t="shared" si="3"/>
        <v>0</v>
      </c>
      <c r="AC30" s="108">
        <f t="shared" si="31"/>
        <v>0</v>
      </c>
      <c r="AD30" s="106">
        <f t="shared" si="4"/>
        <v>0</v>
      </c>
      <c r="AE30" s="107">
        <f t="shared" si="5"/>
        <v>0</v>
      </c>
      <c r="AF30" s="107">
        <f t="shared" si="32"/>
        <v>0</v>
      </c>
      <c r="AG30" s="368">
        <f>IF(AND($W30&gt;$O$83, SUM($AA$17:AA29)&gt;0,SUM($AG$17:AG29)&lt;$O$79),$O$82,0)</f>
        <v>64.125</v>
      </c>
      <c r="AH30" s="107">
        <f>IF(SUM($AA$18:$AA29)&gt;0,($O$79-SUM($AG$18:$AG29))*$F$83,0)</f>
        <v>17.506125000000001</v>
      </c>
      <c r="AI30" s="108">
        <f t="shared" si="33"/>
        <v>81.631124999999997</v>
      </c>
      <c r="AJ30" s="115">
        <f t="shared" si="34"/>
        <v>-81.631124999999997</v>
      </c>
      <c r="AK30" s="115">
        <f t="shared" si="44"/>
        <v>0</v>
      </c>
      <c r="AL30" s="277"/>
      <c r="AM30" s="264">
        <f t="shared" si="7"/>
        <v>-50.372459424213723</v>
      </c>
      <c r="AN30" s="278"/>
      <c r="AO30" s="266">
        <f t="shared" si="8"/>
        <v>0</v>
      </c>
      <c r="AP30" s="263">
        <f t="shared" si="9"/>
        <v>0</v>
      </c>
      <c r="AQ30" s="263">
        <f t="shared" si="10"/>
        <v>0</v>
      </c>
      <c r="AR30" s="260">
        <f t="shared" si="11"/>
        <v>0</v>
      </c>
      <c r="AS30" s="261">
        <f t="shared" si="35"/>
        <v>0</v>
      </c>
      <c r="AT30" s="260">
        <f t="shared" si="12"/>
        <v>0</v>
      </c>
      <c r="AU30" s="260">
        <f t="shared" si="13"/>
        <v>0</v>
      </c>
      <c r="AV30" s="260">
        <f t="shared" si="14"/>
        <v>0</v>
      </c>
      <c r="AW30" s="260">
        <f t="shared" si="15"/>
        <v>0</v>
      </c>
      <c r="AX30" s="368">
        <f t="shared" si="36"/>
        <v>0</v>
      </c>
      <c r="AY30" s="260">
        <f t="shared" si="16"/>
        <v>0</v>
      </c>
      <c r="AZ30" s="368">
        <f>IF(AND($W30&gt;$P$83, SUM($AQ$17:AQ29)&gt;0,SUM($AZ$17:AZ29)&lt;$P$79),$P$82,0)</f>
        <v>64.125</v>
      </c>
      <c r="BA30" s="107">
        <f>IF(SUM($AQ$18:$AQ29)&gt;0,($P$79-SUM($AZ$18:$AZ29))*$F$83,0)</f>
        <v>17.506125000000001</v>
      </c>
      <c r="BB30" s="261">
        <f t="shared" si="37"/>
        <v>81.631124999999997</v>
      </c>
      <c r="BC30" s="263">
        <f t="shared" si="38"/>
        <v>-81.631124999999997</v>
      </c>
      <c r="BD30" s="264">
        <f t="shared" si="17"/>
        <v>-50.372459424213723</v>
      </c>
      <c r="BE30" s="279"/>
      <c r="BF30" s="180">
        <f t="shared" si="39"/>
        <v>0.61707417880390258</v>
      </c>
      <c r="BH30" s="266">
        <f t="shared" si="40"/>
        <v>0</v>
      </c>
      <c r="BI30" s="266">
        <f t="shared" si="40"/>
        <v>0</v>
      </c>
      <c r="BJ30" s="263">
        <f t="shared" si="40"/>
        <v>0</v>
      </c>
      <c r="BK30" s="263">
        <f t="shared" si="40"/>
        <v>0</v>
      </c>
      <c r="BL30" s="263">
        <f t="shared" si="41"/>
        <v>0</v>
      </c>
      <c r="BM30" s="260">
        <f t="shared" si="18"/>
        <v>0</v>
      </c>
      <c r="BN30" s="264">
        <f t="shared" si="19"/>
        <v>0</v>
      </c>
      <c r="BO30" s="263">
        <f t="shared" si="20"/>
        <v>0</v>
      </c>
      <c r="BP30" s="263">
        <f t="shared" si="21"/>
        <v>0</v>
      </c>
      <c r="BQ30" s="263">
        <f t="shared" si="22"/>
        <v>0</v>
      </c>
      <c r="BR30" s="263">
        <f t="shared" si="23"/>
        <v>0</v>
      </c>
      <c r="BS30" s="263">
        <f t="shared" si="24"/>
        <v>0</v>
      </c>
      <c r="BT30" s="107">
        <f t="shared" si="42"/>
        <v>0</v>
      </c>
      <c r="BU30" s="264">
        <f t="shared" si="43"/>
        <v>0</v>
      </c>
      <c r="BV30" s="264">
        <f t="shared" si="25"/>
        <v>0</v>
      </c>
      <c r="BW30" s="265"/>
      <c r="BX30" s="361">
        <f t="shared" si="26"/>
        <v>0</v>
      </c>
      <c r="BY30" s="499">
        <f t="shared" si="27"/>
        <v>0</v>
      </c>
    </row>
    <row r="31" spans="1:77" ht="13.5" customHeight="1" x14ac:dyDescent="0.3">
      <c r="B31" s="223" t="s">
        <v>151</v>
      </c>
      <c r="E31" s="21" t="s">
        <v>55</v>
      </c>
      <c r="F31" s="21" t="s">
        <v>152</v>
      </c>
      <c r="I31" s="214"/>
      <c r="J31" s="223" t="s">
        <v>151</v>
      </c>
      <c r="O31" s="21" t="s">
        <v>55</v>
      </c>
      <c r="P31" s="21" t="s">
        <v>98</v>
      </c>
      <c r="V31" s="294">
        <f t="shared" si="28"/>
        <v>51226</v>
      </c>
      <c r="W31" s="366">
        <f t="shared" si="29"/>
        <v>14</v>
      </c>
      <c r="X31" s="366" t="str">
        <f t="shared" si="30"/>
        <v>-</v>
      </c>
      <c r="Y31" s="106">
        <f t="shared" si="0"/>
        <v>0</v>
      </c>
      <c r="Z31" s="107">
        <f t="shared" si="1"/>
        <v>0</v>
      </c>
      <c r="AA31" s="107">
        <f t="shared" si="2"/>
        <v>0</v>
      </c>
      <c r="AB31" s="107">
        <f t="shared" si="3"/>
        <v>0</v>
      </c>
      <c r="AC31" s="108">
        <f t="shared" si="31"/>
        <v>0</v>
      </c>
      <c r="AD31" s="106">
        <f t="shared" si="4"/>
        <v>0</v>
      </c>
      <c r="AE31" s="107">
        <f t="shared" si="5"/>
        <v>0</v>
      </c>
      <c r="AF31" s="107">
        <f t="shared" si="32"/>
        <v>0</v>
      </c>
      <c r="AG31" s="368">
        <f>IF(AND($W31&gt;$O$83, SUM($AA$17:AA30)&gt;0,SUM($AG$17:AG30)&lt;$O$79),$O$82,0)</f>
        <v>64.125</v>
      </c>
      <c r="AH31" s="107">
        <f>IF(SUM($AA$18:$AA30)&gt;0,($O$79-SUM($AG$18:$AG30))*$F$83,0)</f>
        <v>16.255687500000001</v>
      </c>
      <c r="AI31" s="108">
        <f t="shared" si="33"/>
        <v>80.380687499999993</v>
      </c>
      <c r="AJ31" s="115">
        <f t="shared" si="34"/>
        <v>-80.380687499999993</v>
      </c>
      <c r="AK31" s="115">
        <f t="shared" si="44"/>
        <v>0</v>
      </c>
      <c r="AL31" s="277"/>
      <c r="AM31" s="264">
        <f t="shared" si="7"/>
        <v>-47.79265926030137</v>
      </c>
      <c r="AN31" s="278"/>
      <c r="AO31" s="266">
        <f t="shared" si="8"/>
        <v>0</v>
      </c>
      <c r="AP31" s="263">
        <f t="shared" si="9"/>
        <v>0</v>
      </c>
      <c r="AQ31" s="263">
        <f t="shared" si="10"/>
        <v>0</v>
      </c>
      <c r="AR31" s="260">
        <f t="shared" si="11"/>
        <v>0</v>
      </c>
      <c r="AS31" s="261">
        <f t="shared" si="35"/>
        <v>0</v>
      </c>
      <c r="AT31" s="260">
        <f t="shared" si="12"/>
        <v>0</v>
      </c>
      <c r="AU31" s="260">
        <f t="shared" si="13"/>
        <v>0</v>
      </c>
      <c r="AV31" s="260">
        <f t="shared" si="14"/>
        <v>0</v>
      </c>
      <c r="AW31" s="260">
        <f t="shared" si="15"/>
        <v>0</v>
      </c>
      <c r="AX31" s="368">
        <f t="shared" si="36"/>
        <v>0</v>
      </c>
      <c r="AY31" s="260">
        <f t="shared" si="16"/>
        <v>0</v>
      </c>
      <c r="AZ31" s="368">
        <f>IF(AND($W31&gt;$P$83, SUM($AQ$17:AQ30)&gt;0,SUM($AZ$17:AZ30)&lt;$P$79),$P$82,0)</f>
        <v>64.125</v>
      </c>
      <c r="BA31" s="107">
        <f>IF(SUM($AQ$18:$AQ30)&gt;0,($P$79-SUM($AZ$18:$AZ30))*$F$83,0)</f>
        <v>16.255687500000001</v>
      </c>
      <c r="BB31" s="261">
        <f t="shared" si="37"/>
        <v>80.380687499999993</v>
      </c>
      <c r="BC31" s="263">
        <f t="shared" si="38"/>
        <v>-80.380687499999993</v>
      </c>
      <c r="BD31" s="264">
        <f t="shared" si="17"/>
        <v>-47.79265926030137</v>
      </c>
      <c r="BE31" s="279"/>
      <c r="BF31" s="180">
        <f t="shared" si="39"/>
        <v>0.59457888140483217</v>
      </c>
      <c r="BH31" s="266">
        <f t="shared" si="40"/>
        <v>0</v>
      </c>
      <c r="BI31" s="266">
        <f t="shared" si="40"/>
        <v>0</v>
      </c>
      <c r="BJ31" s="263">
        <f t="shared" si="40"/>
        <v>0</v>
      </c>
      <c r="BK31" s="263">
        <f t="shared" si="40"/>
        <v>0</v>
      </c>
      <c r="BL31" s="263">
        <f t="shared" si="41"/>
        <v>0</v>
      </c>
      <c r="BM31" s="260">
        <f t="shared" si="18"/>
        <v>0</v>
      </c>
      <c r="BN31" s="264">
        <f t="shared" si="19"/>
        <v>0</v>
      </c>
      <c r="BO31" s="263">
        <f t="shared" si="20"/>
        <v>0</v>
      </c>
      <c r="BP31" s="263">
        <f t="shared" si="21"/>
        <v>0</v>
      </c>
      <c r="BQ31" s="263">
        <f t="shared" si="22"/>
        <v>0</v>
      </c>
      <c r="BR31" s="263">
        <f t="shared" si="23"/>
        <v>0</v>
      </c>
      <c r="BS31" s="263">
        <f t="shared" si="24"/>
        <v>0</v>
      </c>
      <c r="BT31" s="107">
        <f t="shared" si="42"/>
        <v>0</v>
      </c>
      <c r="BU31" s="264">
        <f t="shared" si="43"/>
        <v>0</v>
      </c>
      <c r="BV31" s="264">
        <f t="shared" si="25"/>
        <v>0</v>
      </c>
      <c r="BW31" s="265"/>
      <c r="BX31" s="361">
        <f t="shared" si="26"/>
        <v>0</v>
      </c>
      <c r="BY31" s="499">
        <f t="shared" si="27"/>
        <v>0</v>
      </c>
    </row>
    <row r="32" spans="1:77" ht="15.75" customHeight="1" x14ac:dyDescent="0.45">
      <c r="C32" s="21" t="s">
        <v>153</v>
      </c>
      <c r="D32" s="191" t="s">
        <v>21</v>
      </c>
      <c r="E32" s="311">
        <f>事業費用概算!G6</f>
        <v>0</v>
      </c>
      <c r="F32" s="438">
        <f>E32</f>
        <v>0</v>
      </c>
      <c r="J32" s="35"/>
      <c r="K32" s="21" t="s">
        <v>154</v>
      </c>
      <c r="N32" s="191" t="s">
        <v>21</v>
      </c>
      <c r="O32" s="168">
        <f>E33*$F$65+E32</f>
        <v>2850</v>
      </c>
      <c r="P32" s="168">
        <f>SUM(F32:F33)*(1-F66)</f>
        <v>2850</v>
      </c>
      <c r="Q32" s="21" t="s">
        <v>155</v>
      </c>
      <c r="V32" s="294">
        <f t="shared" si="28"/>
        <v>51591</v>
      </c>
      <c r="W32" s="366">
        <f t="shared" si="29"/>
        <v>15</v>
      </c>
      <c r="X32" s="366" t="str">
        <f t="shared" si="30"/>
        <v>-</v>
      </c>
      <c r="Y32" s="106">
        <f t="shared" si="0"/>
        <v>0</v>
      </c>
      <c r="Z32" s="107">
        <f t="shared" si="1"/>
        <v>0</v>
      </c>
      <c r="AA32" s="107">
        <f t="shared" si="2"/>
        <v>0</v>
      </c>
      <c r="AB32" s="107">
        <f t="shared" si="3"/>
        <v>0</v>
      </c>
      <c r="AC32" s="108">
        <f t="shared" si="31"/>
        <v>0</v>
      </c>
      <c r="AD32" s="106">
        <f t="shared" si="4"/>
        <v>0</v>
      </c>
      <c r="AE32" s="107">
        <f t="shared" si="5"/>
        <v>0</v>
      </c>
      <c r="AF32" s="107">
        <f t="shared" si="32"/>
        <v>0</v>
      </c>
      <c r="AG32" s="368">
        <f>IF(AND($W32&gt;$O$83, SUM($AA$17:AA31)&gt;0,SUM($AG$17:AG31)&lt;$O$79),$O$82,0)</f>
        <v>64.125</v>
      </c>
      <c r="AH32" s="107">
        <f>IF(SUM($AA$18:$AA31)&gt;0,($O$79-SUM($AG$18:$AG31))*$F$83,0)</f>
        <v>15.00525</v>
      </c>
      <c r="AI32" s="108">
        <f t="shared" si="33"/>
        <v>79.130250000000004</v>
      </c>
      <c r="AJ32" s="115">
        <f t="shared" si="34"/>
        <v>-79.130250000000004</v>
      </c>
      <c r="AK32" s="115">
        <f t="shared" si="44"/>
        <v>0</v>
      </c>
      <c r="AL32" s="277"/>
      <c r="AM32" s="264">
        <f t="shared" si="7"/>
        <v>-45.334008647129238</v>
      </c>
      <c r="AN32" s="278"/>
      <c r="AO32" s="266">
        <f t="shared" si="8"/>
        <v>0</v>
      </c>
      <c r="AP32" s="263">
        <f t="shared" si="9"/>
        <v>0</v>
      </c>
      <c r="AQ32" s="263">
        <f t="shared" si="10"/>
        <v>0</v>
      </c>
      <c r="AR32" s="260">
        <f t="shared" si="11"/>
        <v>0</v>
      </c>
      <c r="AS32" s="261">
        <f t="shared" si="35"/>
        <v>0</v>
      </c>
      <c r="AT32" s="260">
        <f t="shared" si="12"/>
        <v>0</v>
      </c>
      <c r="AU32" s="260">
        <f t="shared" si="13"/>
        <v>0</v>
      </c>
      <c r="AV32" s="260">
        <f t="shared" si="14"/>
        <v>0</v>
      </c>
      <c r="AW32" s="260">
        <f t="shared" si="15"/>
        <v>0</v>
      </c>
      <c r="AX32" s="368">
        <f t="shared" si="36"/>
        <v>0</v>
      </c>
      <c r="AY32" s="260">
        <f t="shared" si="16"/>
        <v>0</v>
      </c>
      <c r="AZ32" s="368">
        <f>IF(AND($W32&gt;$P$83, SUM($AQ$17:AQ31)&gt;0,SUM($AZ$17:AZ31)&lt;$P$79),$P$82,0)</f>
        <v>64.125</v>
      </c>
      <c r="BA32" s="107">
        <f>IF(SUM($AQ$18:$AQ31)&gt;0,($P$79-SUM($AZ$18:$AZ31))*$F$83,0)</f>
        <v>15.00525</v>
      </c>
      <c r="BB32" s="261">
        <f t="shared" si="37"/>
        <v>79.130250000000004</v>
      </c>
      <c r="BC32" s="263">
        <f t="shared" si="38"/>
        <v>-79.130250000000004</v>
      </c>
      <c r="BD32" s="264">
        <f t="shared" si="17"/>
        <v>-45.334008647129238</v>
      </c>
      <c r="BE32" s="279"/>
      <c r="BF32" s="180">
        <f t="shared" si="39"/>
        <v>0.57290364490355128</v>
      </c>
      <c r="BH32" s="266">
        <f t="shared" si="40"/>
        <v>0</v>
      </c>
      <c r="BI32" s="266">
        <f t="shared" si="40"/>
        <v>0</v>
      </c>
      <c r="BJ32" s="263">
        <f t="shared" si="40"/>
        <v>0</v>
      </c>
      <c r="BK32" s="263">
        <f t="shared" si="40"/>
        <v>0</v>
      </c>
      <c r="BL32" s="263">
        <f t="shared" si="41"/>
        <v>0</v>
      </c>
      <c r="BM32" s="260">
        <f t="shared" si="18"/>
        <v>0</v>
      </c>
      <c r="BN32" s="264">
        <f t="shared" si="19"/>
        <v>0</v>
      </c>
      <c r="BO32" s="263">
        <f t="shared" si="20"/>
        <v>0</v>
      </c>
      <c r="BP32" s="263">
        <f t="shared" si="21"/>
        <v>0</v>
      </c>
      <c r="BQ32" s="263">
        <f t="shared" si="22"/>
        <v>0</v>
      </c>
      <c r="BR32" s="263">
        <f t="shared" si="23"/>
        <v>0</v>
      </c>
      <c r="BS32" s="263">
        <f t="shared" si="24"/>
        <v>0</v>
      </c>
      <c r="BT32" s="107">
        <f t="shared" si="42"/>
        <v>0</v>
      </c>
      <c r="BU32" s="264">
        <f t="shared" si="43"/>
        <v>0</v>
      </c>
      <c r="BV32" s="264">
        <f t="shared" si="25"/>
        <v>0</v>
      </c>
      <c r="BW32" s="265"/>
      <c r="BX32" s="361">
        <f t="shared" si="26"/>
        <v>0</v>
      </c>
      <c r="BY32" s="499">
        <f t="shared" si="27"/>
        <v>0</v>
      </c>
    </row>
    <row r="33" spans="2:77" ht="15.75" customHeight="1" x14ac:dyDescent="0.45">
      <c r="C33" s="21" t="s">
        <v>156</v>
      </c>
      <c r="D33" s="191" t="s">
        <v>21</v>
      </c>
      <c r="E33" s="311">
        <f>事業費用概算!G7</f>
        <v>3000</v>
      </c>
      <c r="F33" s="438">
        <f>E33</f>
        <v>3000</v>
      </c>
      <c r="K33" s="119" t="s">
        <v>157</v>
      </c>
      <c r="M33" s="119"/>
      <c r="N33" s="191" t="s">
        <v>21</v>
      </c>
      <c r="O33" s="147">
        <f>O32*E35</f>
        <v>2850</v>
      </c>
      <c r="P33" s="147">
        <f>$P$32*F35</f>
        <v>2850</v>
      </c>
      <c r="V33" s="294">
        <f t="shared" si="28"/>
        <v>51956</v>
      </c>
      <c r="W33" s="366">
        <f t="shared" si="29"/>
        <v>16</v>
      </c>
      <c r="X33" s="366" t="str">
        <f t="shared" si="30"/>
        <v>-</v>
      </c>
      <c r="Y33" s="106">
        <f t="shared" si="0"/>
        <v>0</v>
      </c>
      <c r="Z33" s="107">
        <f t="shared" si="1"/>
        <v>0</v>
      </c>
      <c r="AA33" s="107">
        <f t="shared" si="2"/>
        <v>0</v>
      </c>
      <c r="AB33" s="107">
        <f t="shared" si="3"/>
        <v>0</v>
      </c>
      <c r="AC33" s="108">
        <f t="shared" si="31"/>
        <v>0</v>
      </c>
      <c r="AD33" s="106">
        <f t="shared" si="4"/>
        <v>0</v>
      </c>
      <c r="AE33" s="107">
        <f t="shared" si="5"/>
        <v>0</v>
      </c>
      <c r="AF33" s="107">
        <f t="shared" si="32"/>
        <v>0</v>
      </c>
      <c r="AG33" s="368">
        <f>IF(AND($W33&gt;$O$83, SUM($AA$17:AA32)&gt;0,SUM($AG$17:AG32)&lt;$O$79),$O$82,0)</f>
        <v>64.125</v>
      </c>
      <c r="AH33" s="107">
        <f>IF(SUM($AA$18:$AA32)&gt;0,($O$79-SUM($AG$18:$AG32))*$F$83,0)</f>
        <v>13.7548125</v>
      </c>
      <c r="AI33" s="108">
        <f t="shared" si="33"/>
        <v>77.8798125</v>
      </c>
      <c r="AJ33" s="115">
        <f t="shared" si="34"/>
        <v>-77.8798125</v>
      </c>
      <c r="AK33" s="115">
        <f t="shared" si="44"/>
        <v>0</v>
      </c>
      <c r="AL33" s="277"/>
      <c r="AM33" s="264">
        <f t="shared" si="7"/>
        <v>-42.991103052757147</v>
      </c>
      <c r="AN33" s="278"/>
      <c r="AO33" s="266">
        <f t="shared" si="8"/>
        <v>0</v>
      </c>
      <c r="AP33" s="263">
        <f t="shared" si="9"/>
        <v>0</v>
      </c>
      <c r="AQ33" s="263">
        <f t="shared" si="10"/>
        <v>0</v>
      </c>
      <c r="AR33" s="260">
        <f t="shared" si="11"/>
        <v>0</v>
      </c>
      <c r="AS33" s="261">
        <f t="shared" si="35"/>
        <v>0</v>
      </c>
      <c r="AT33" s="260">
        <f t="shared" si="12"/>
        <v>0</v>
      </c>
      <c r="AU33" s="260">
        <f t="shared" si="13"/>
        <v>0</v>
      </c>
      <c r="AV33" s="260">
        <f t="shared" si="14"/>
        <v>0</v>
      </c>
      <c r="AW33" s="260">
        <f t="shared" si="15"/>
        <v>0</v>
      </c>
      <c r="AX33" s="368">
        <f t="shared" si="36"/>
        <v>0</v>
      </c>
      <c r="AY33" s="260">
        <f t="shared" si="16"/>
        <v>0</v>
      </c>
      <c r="AZ33" s="368">
        <f>IF(AND($W33&gt;$P$83, SUM($AQ$17:AQ32)&gt;0,SUM($AZ$17:AZ32)&lt;$P$79),$P$82,0)</f>
        <v>64.125</v>
      </c>
      <c r="BA33" s="107">
        <f>IF(SUM($AQ$18:$AQ32)&gt;0,($P$79-SUM($AZ$18:$AZ32))*$F$83,0)</f>
        <v>13.7548125</v>
      </c>
      <c r="BB33" s="261">
        <f t="shared" si="37"/>
        <v>77.8798125</v>
      </c>
      <c r="BC33" s="263">
        <f t="shared" si="38"/>
        <v>-77.8798125</v>
      </c>
      <c r="BD33" s="264">
        <f t="shared" si="17"/>
        <v>-42.991103052757147</v>
      </c>
      <c r="BE33" s="279"/>
      <c r="BF33" s="180">
        <f t="shared" si="39"/>
        <v>0.55201857416846178</v>
      </c>
      <c r="BH33" s="266">
        <f t="shared" si="40"/>
        <v>0</v>
      </c>
      <c r="BI33" s="266">
        <f t="shared" si="40"/>
        <v>0</v>
      </c>
      <c r="BJ33" s="263">
        <f t="shared" si="40"/>
        <v>0</v>
      </c>
      <c r="BK33" s="263">
        <f t="shared" si="40"/>
        <v>0</v>
      </c>
      <c r="BL33" s="263">
        <f t="shared" si="41"/>
        <v>0</v>
      </c>
      <c r="BM33" s="260">
        <f t="shared" si="18"/>
        <v>0</v>
      </c>
      <c r="BN33" s="264">
        <f t="shared" si="19"/>
        <v>0</v>
      </c>
      <c r="BO33" s="263">
        <f t="shared" si="20"/>
        <v>0</v>
      </c>
      <c r="BP33" s="263">
        <f t="shared" si="21"/>
        <v>0</v>
      </c>
      <c r="BQ33" s="263">
        <f t="shared" si="22"/>
        <v>0</v>
      </c>
      <c r="BR33" s="263">
        <f t="shared" si="23"/>
        <v>0</v>
      </c>
      <c r="BS33" s="263">
        <f t="shared" si="24"/>
        <v>0</v>
      </c>
      <c r="BT33" s="107">
        <f t="shared" si="42"/>
        <v>0</v>
      </c>
      <c r="BU33" s="264">
        <f t="shared" si="43"/>
        <v>0</v>
      </c>
      <c r="BV33" s="264">
        <f t="shared" si="25"/>
        <v>0</v>
      </c>
      <c r="BW33" s="265"/>
      <c r="BX33" s="361">
        <f t="shared" si="26"/>
        <v>0</v>
      </c>
      <c r="BY33" s="499">
        <f t="shared" si="27"/>
        <v>0</v>
      </c>
    </row>
    <row r="34" spans="2:77" ht="15.75" customHeight="1" x14ac:dyDescent="0.3">
      <c r="E34" s="22"/>
      <c r="F34" s="22"/>
      <c r="K34" s="119" t="s">
        <v>158</v>
      </c>
      <c r="M34" s="119"/>
      <c r="N34" s="191" t="s">
        <v>21</v>
      </c>
      <c r="O34" s="436">
        <f>O33*E36</f>
        <v>0</v>
      </c>
      <c r="P34" s="147">
        <f>$P$32*F36</f>
        <v>0</v>
      </c>
      <c r="V34" s="294">
        <f t="shared" si="28"/>
        <v>52321</v>
      </c>
      <c r="W34" s="366">
        <f t="shared" si="29"/>
        <v>17</v>
      </c>
      <c r="X34" s="366" t="str">
        <f t="shared" si="30"/>
        <v>-</v>
      </c>
      <c r="Y34" s="106">
        <f t="shared" si="0"/>
        <v>0</v>
      </c>
      <c r="Z34" s="107">
        <f t="shared" si="1"/>
        <v>0</v>
      </c>
      <c r="AA34" s="107">
        <f t="shared" si="2"/>
        <v>0</v>
      </c>
      <c r="AB34" s="107">
        <f t="shared" si="3"/>
        <v>0</v>
      </c>
      <c r="AC34" s="108">
        <f t="shared" si="31"/>
        <v>0</v>
      </c>
      <c r="AD34" s="106">
        <f t="shared" si="4"/>
        <v>0</v>
      </c>
      <c r="AE34" s="107">
        <f t="shared" si="5"/>
        <v>0</v>
      </c>
      <c r="AF34" s="107">
        <f t="shared" si="32"/>
        <v>0</v>
      </c>
      <c r="AG34" s="368">
        <f>IF(AND($W34&gt;$O$83, SUM($AA$17:AA33)&gt;0,SUM($AG$17:AG33)&lt;$O$79),$O$82,0)</f>
        <v>64.125</v>
      </c>
      <c r="AH34" s="107">
        <f>IF(SUM($AA$18:$AA33)&gt;0,($O$79-SUM($AG$18:$AG33))*$F$83,0)</f>
        <v>12.504375</v>
      </c>
      <c r="AI34" s="108">
        <f t="shared" si="33"/>
        <v>76.629374999999996</v>
      </c>
      <c r="AJ34" s="115">
        <f t="shared" si="34"/>
        <v>-76.629374999999996</v>
      </c>
      <c r="AK34" s="115">
        <f t="shared" si="44"/>
        <v>0</v>
      </c>
      <c r="AL34" s="277"/>
      <c r="AM34" s="264">
        <f t="shared" si="7"/>
        <v>-40.7587709854566</v>
      </c>
      <c r="AN34" s="278"/>
      <c r="AO34" s="266">
        <f t="shared" si="8"/>
        <v>0</v>
      </c>
      <c r="AP34" s="263">
        <f t="shared" si="9"/>
        <v>0</v>
      </c>
      <c r="AQ34" s="263">
        <f t="shared" si="10"/>
        <v>0</v>
      </c>
      <c r="AR34" s="260">
        <f t="shared" si="11"/>
        <v>0</v>
      </c>
      <c r="AS34" s="261">
        <f t="shared" si="35"/>
        <v>0</v>
      </c>
      <c r="AT34" s="260">
        <f t="shared" si="12"/>
        <v>0</v>
      </c>
      <c r="AU34" s="260">
        <f t="shared" si="13"/>
        <v>0</v>
      </c>
      <c r="AV34" s="260">
        <f t="shared" si="14"/>
        <v>0</v>
      </c>
      <c r="AW34" s="260">
        <f t="shared" si="15"/>
        <v>0</v>
      </c>
      <c r="AX34" s="368">
        <f t="shared" si="36"/>
        <v>0</v>
      </c>
      <c r="AY34" s="260">
        <f t="shared" si="16"/>
        <v>0</v>
      </c>
      <c r="AZ34" s="368">
        <f>IF(AND($W34&gt;$P$83, SUM($AQ$17:AQ33)&gt;0,SUM($AZ$17:AZ33)&lt;$P$79),$P$82,0)</f>
        <v>64.125</v>
      </c>
      <c r="BA34" s="107">
        <f>IF(SUM($AQ$18:$AQ33)&gt;0,($P$79-SUM($AZ$18:$AZ33))*$F$83,0)</f>
        <v>12.504375</v>
      </c>
      <c r="BB34" s="261">
        <f t="shared" si="37"/>
        <v>76.629374999999996</v>
      </c>
      <c r="BC34" s="263">
        <f t="shared" si="38"/>
        <v>-76.629374999999996</v>
      </c>
      <c r="BD34" s="264">
        <f t="shared" si="17"/>
        <v>-40.7587709854566</v>
      </c>
      <c r="BE34" s="279"/>
      <c r="BF34" s="180">
        <f t="shared" si="39"/>
        <v>0.53189486388811869</v>
      </c>
      <c r="BH34" s="266">
        <f t="shared" si="40"/>
        <v>0</v>
      </c>
      <c r="BI34" s="266">
        <f t="shared" si="40"/>
        <v>0</v>
      </c>
      <c r="BJ34" s="263">
        <f t="shared" si="40"/>
        <v>0</v>
      </c>
      <c r="BK34" s="263">
        <f t="shared" si="40"/>
        <v>0</v>
      </c>
      <c r="BL34" s="263">
        <f t="shared" si="41"/>
        <v>0</v>
      </c>
      <c r="BM34" s="260">
        <f t="shared" si="18"/>
        <v>0</v>
      </c>
      <c r="BN34" s="264">
        <f t="shared" si="19"/>
        <v>0</v>
      </c>
      <c r="BO34" s="263">
        <f t="shared" si="20"/>
        <v>0</v>
      </c>
      <c r="BP34" s="263">
        <f t="shared" si="21"/>
        <v>0</v>
      </c>
      <c r="BQ34" s="263">
        <f t="shared" si="22"/>
        <v>0</v>
      </c>
      <c r="BR34" s="263">
        <f t="shared" si="23"/>
        <v>0</v>
      </c>
      <c r="BS34" s="263">
        <f t="shared" si="24"/>
        <v>0</v>
      </c>
      <c r="BT34" s="107">
        <f t="shared" si="42"/>
        <v>0</v>
      </c>
      <c r="BU34" s="264">
        <f t="shared" si="43"/>
        <v>0</v>
      </c>
      <c r="BV34" s="264">
        <f t="shared" si="25"/>
        <v>0</v>
      </c>
      <c r="BW34" s="265"/>
      <c r="BX34" s="361">
        <f t="shared" si="26"/>
        <v>0</v>
      </c>
      <c r="BY34" s="499">
        <f t="shared" si="27"/>
        <v>0</v>
      </c>
    </row>
    <row r="35" spans="2:77" ht="15.75" customHeight="1" x14ac:dyDescent="0.45">
      <c r="C35" s="21" t="s">
        <v>159</v>
      </c>
      <c r="D35" s="191" t="s">
        <v>25</v>
      </c>
      <c r="E35" s="315">
        <v>1</v>
      </c>
      <c r="F35" s="315">
        <v>1</v>
      </c>
      <c r="H35" s="120" t="s">
        <v>160</v>
      </c>
      <c r="K35" s="275" t="s">
        <v>161</v>
      </c>
      <c r="L35" s="241"/>
      <c r="M35" s="275"/>
      <c r="N35" s="242" t="s">
        <v>21</v>
      </c>
      <c r="O35" s="437">
        <f>SUM(O33:O34)</f>
        <v>2850</v>
      </c>
      <c r="P35" s="437">
        <f>SUM(P33:P34)</f>
        <v>2850</v>
      </c>
      <c r="V35" s="294">
        <f t="shared" si="28"/>
        <v>52687</v>
      </c>
      <c r="W35" s="366">
        <f t="shared" si="29"/>
        <v>18</v>
      </c>
      <c r="X35" s="366" t="str">
        <f t="shared" si="30"/>
        <v>-</v>
      </c>
      <c r="Y35" s="106">
        <f t="shared" si="0"/>
        <v>0</v>
      </c>
      <c r="Z35" s="107">
        <f t="shared" si="1"/>
        <v>0</v>
      </c>
      <c r="AA35" s="107">
        <f t="shared" si="2"/>
        <v>0</v>
      </c>
      <c r="AB35" s="107">
        <f t="shared" si="3"/>
        <v>0</v>
      </c>
      <c r="AC35" s="108">
        <f t="shared" si="31"/>
        <v>0</v>
      </c>
      <c r="AD35" s="106">
        <f t="shared" si="4"/>
        <v>0</v>
      </c>
      <c r="AE35" s="107">
        <f t="shared" si="5"/>
        <v>0</v>
      </c>
      <c r="AF35" s="107">
        <f t="shared" si="32"/>
        <v>0</v>
      </c>
      <c r="AG35" s="368">
        <f>IF(AND($W35&gt;$O$83, SUM($AA$17:AA34)&gt;0,SUM($AG$17:AG34)&lt;$O$79),$O$82,0)</f>
        <v>64.125</v>
      </c>
      <c r="AH35" s="107">
        <f>IF(SUM($AA$18:$AA34)&gt;0,($O$79-SUM($AG$18:$AG34))*$F$83,0)</f>
        <v>11.253937499999999</v>
      </c>
      <c r="AI35" s="108">
        <f t="shared" si="33"/>
        <v>75.378937500000006</v>
      </c>
      <c r="AJ35" s="115">
        <f t="shared" si="34"/>
        <v>-75.378937500000006</v>
      </c>
      <c r="AK35" s="115">
        <f t="shared" si="44"/>
        <v>0</v>
      </c>
      <c r="AL35" s="277"/>
      <c r="AM35" s="264">
        <f t="shared" si="7"/>
        <v>-38.632064185210268</v>
      </c>
      <c r="AN35" s="278"/>
      <c r="AO35" s="266">
        <f t="shared" si="8"/>
        <v>0</v>
      </c>
      <c r="AP35" s="263">
        <f t="shared" si="9"/>
        <v>0</v>
      </c>
      <c r="AQ35" s="263">
        <f t="shared" si="10"/>
        <v>0</v>
      </c>
      <c r="AR35" s="260">
        <f t="shared" si="11"/>
        <v>0</v>
      </c>
      <c r="AS35" s="261">
        <f t="shared" si="35"/>
        <v>0</v>
      </c>
      <c r="AT35" s="260">
        <f t="shared" si="12"/>
        <v>0</v>
      </c>
      <c r="AU35" s="260">
        <f t="shared" si="13"/>
        <v>0</v>
      </c>
      <c r="AV35" s="260">
        <f t="shared" si="14"/>
        <v>0</v>
      </c>
      <c r="AW35" s="260">
        <f t="shared" si="15"/>
        <v>0</v>
      </c>
      <c r="AX35" s="368">
        <f t="shared" si="36"/>
        <v>0</v>
      </c>
      <c r="AY35" s="260">
        <f t="shared" si="16"/>
        <v>0</v>
      </c>
      <c r="AZ35" s="368">
        <f>IF(AND($W35&gt;$P$83, SUM($AQ$17:AQ34)&gt;0,SUM($AZ$17:AZ34)&lt;$P$79),$P$82,0)</f>
        <v>64.125</v>
      </c>
      <c r="BA35" s="107">
        <f>IF(SUM($AQ$18:$AQ34)&gt;0,($P$79-SUM($AZ$18:$AZ34))*$F$83,0)</f>
        <v>11.253937499999999</v>
      </c>
      <c r="BB35" s="261">
        <f t="shared" si="37"/>
        <v>75.378937500000006</v>
      </c>
      <c r="BC35" s="263">
        <f t="shared" si="38"/>
        <v>-75.378937500000006</v>
      </c>
      <c r="BD35" s="264">
        <f t="shared" si="17"/>
        <v>-38.632064185210268</v>
      </c>
      <c r="BE35" s="279"/>
      <c r="BF35" s="180">
        <f t="shared" si="39"/>
        <v>0.51250475884208724</v>
      </c>
      <c r="BH35" s="266">
        <f t="shared" ref="BH35:BK36" si="45">AT35</f>
        <v>0</v>
      </c>
      <c r="BI35" s="266">
        <f t="shared" si="45"/>
        <v>0</v>
      </c>
      <c r="BJ35" s="263">
        <f t="shared" si="45"/>
        <v>0</v>
      </c>
      <c r="BK35" s="263">
        <f t="shared" si="45"/>
        <v>0</v>
      </c>
      <c r="BL35" s="263">
        <f t="shared" si="41"/>
        <v>0</v>
      </c>
      <c r="BM35" s="260">
        <f t="shared" si="18"/>
        <v>0</v>
      </c>
      <c r="BN35" s="264">
        <f t="shared" si="19"/>
        <v>0</v>
      </c>
      <c r="BO35" s="263">
        <f t="shared" si="20"/>
        <v>0</v>
      </c>
      <c r="BP35" s="263">
        <f t="shared" si="21"/>
        <v>0</v>
      </c>
      <c r="BQ35" s="263">
        <f t="shared" si="22"/>
        <v>0</v>
      </c>
      <c r="BR35" s="263">
        <f t="shared" si="23"/>
        <v>0</v>
      </c>
      <c r="BS35" s="263">
        <f t="shared" si="24"/>
        <v>0</v>
      </c>
      <c r="BT35" s="107">
        <f t="shared" si="42"/>
        <v>0</v>
      </c>
      <c r="BU35" s="264">
        <f t="shared" si="43"/>
        <v>0</v>
      </c>
      <c r="BV35" s="264">
        <f t="shared" si="25"/>
        <v>0</v>
      </c>
      <c r="BW35" s="265"/>
      <c r="BX35" s="361">
        <f t="shared" si="26"/>
        <v>0</v>
      </c>
      <c r="BY35" s="499">
        <f t="shared" si="27"/>
        <v>0</v>
      </c>
    </row>
    <row r="36" spans="2:77" ht="15.75" customHeight="1" x14ac:dyDescent="0.45">
      <c r="C36" s="21" t="s">
        <v>162</v>
      </c>
      <c r="D36" s="191" t="s">
        <v>25</v>
      </c>
      <c r="E36" s="418"/>
      <c r="F36" s="418"/>
      <c r="V36" s="294">
        <f t="shared" si="28"/>
        <v>53052</v>
      </c>
      <c r="W36" s="366">
        <f t="shared" si="29"/>
        <v>19</v>
      </c>
      <c r="X36" s="366" t="str">
        <f t="shared" si="30"/>
        <v>-</v>
      </c>
      <c r="Y36" s="106">
        <f t="shared" si="0"/>
        <v>0</v>
      </c>
      <c r="Z36" s="107">
        <f t="shared" si="1"/>
        <v>0</v>
      </c>
      <c r="AA36" s="107">
        <f t="shared" si="2"/>
        <v>0</v>
      </c>
      <c r="AB36" s="107">
        <f t="shared" si="3"/>
        <v>0</v>
      </c>
      <c r="AC36" s="108">
        <f t="shared" si="31"/>
        <v>0</v>
      </c>
      <c r="AD36" s="106">
        <f t="shared" si="4"/>
        <v>0</v>
      </c>
      <c r="AE36" s="107">
        <f t="shared" si="5"/>
        <v>0</v>
      </c>
      <c r="AF36" s="107">
        <f t="shared" si="32"/>
        <v>0</v>
      </c>
      <c r="AG36" s="368">
        <f>IF(AND($W36&gt;$O$83, SUM($AA$17:AA35)&gt;0,SUM($AG$17:AG35)&lt;$O$79),$O$82,0)</f>
        <v>64.125</v>
      </c>
      <c r="AH36" s="107">
        <f>IF(SUM($AA$18:$AA35)&gt;0,($O$79-SUM($AG$18:$AG35))*$F$83,0)</f>
        <v>10.003500000000001</v>
      </c>
      <c r="AI36" s="108">
        <f t="shared" si="33"/>
        <v>74.128500000000003</v>
      </c>
      <c r="AJ36" s="115">
        <f t="shared" si="34"/>
        <v>-74.128500000000003</v>
      </c>
      <c r="AK36" s="115">
        <f t="shared" si="44"/>
        <v>0</v>
      </c>
      <c r="AL36" s="277"/>
      <c r="AM36" s="264">
        <f t="shared" si="7"/>
        <v>-36.60624822064576</v>
      </c>
      <c r="AN36" s="278"/>
      <c r="AO36" s="266">
        <f t="shared" si="8"/>
        <v>0</v>
      </c>
      <c r="AP36" s="263">
        <f t="shared" si="9"/>
        <v>0</v>
      </c>
      <c r="AQ36" s="263">
        <f t="shared" si="10"/>
        <v>0</v>
      </c>
      <c r="AR36" s="260">
        <f t="shared" si="11"/>
        <v>0</v>
      </c>
      <c r="AS36" s="261">
        <f t="shared" si="35"/>
        <v>0</v>
      </c>
      <c r="AT36" s="260">
        <f t="shared" si="12"/>
        <v>0</v>
      </c>
      <c r="AU36" s="260">
        <f t="shared" si="13"/>
        <v>0</v>
      </c>
      <c r="AV36" s="260">
        <f t="shared" si="14"/>
        <v>0</v>
      </c>
      <c r="AW36" s="260">
        <f t="shared" si="15"/>
        <v>0</v>
      </c>
      <c r="AX36" s="368">
        <f t="shared" si="36"/>
        <v>0</v>
      </c>
      <c r="AY36" s="260">
        <f t="shared" si="16"/>
        <v>0</v>
      </c>
      <c r="AZ36" s="368">
        <f>IF(AND($W36&gt;$P$83, SUM($AQ$17:AQ35)&gt;0,SUM($AZ$17:AZ35)&lt;$P$79),$P$82,0)</f>
        <v>64.125</v>
      </c>
      <c r="BA36" s="107">
        <f>IF(SUM($AQ$18:$AQ35)&gt;0,($P$79-SUM($AZ$18:$AZ35))*$F$83,0)</f>
        <v>10.003500000000001</v>
      </c>
      <c r="BB36" s="261">
        <f t="shared" si="37"/>
        <v>74.128500000000003</v>
      </c>
      <c r="BC36" s="263">
        <f t="shared" si="38"/>
        <v>-74.128500000000003</v>
      </c>
      <c r="BD36" s="264">
        <f t="shared" si="17"/>
        <v>-36.60624822064576</v>
      </c>
      <c r="BE36" s="279"/>
      <c r="BF36" s="180">
        <f t="shared" si="39"/>
        <v>0.49382151562011584</v>
      </c>
      <c r="BH36" s="266">
        <f t="shared" si="45"/>
        <v>0</v>
      </c>
      <c r="BI36" s="266">
        <f t="shared" si="45"/>
        <v>0</v>
      </c>
      <c r="BJ36" s="263">
        <f t="shared" si="45"/>
        <v>0</v>
      </c>
      <c r="BK36" s="263">
        <f t="shared" si="45"/>
        <v>0</v>
      </c>
      <c r="BL36" s="263">
        <f t="shared" si="41"/>
        <v>0</v>
      </c>
      <c r="BM36" s="260">
        <f t="shared" si="18"/>
        <v>0</v>
      </c>
      <c r="BN36" s="264">
        <f t="shared" si="19"/>
        <v>0</v>
      </c>
      <c r="BO36" s="263">
        <f t="shared" si="20"/>
        <v>0</v>
      </c>
      <c r="BP36" s="263">
        <f t="shared" si="21"/>
        <v>0</v>
      </c>
      <c r="BQ36" s="263">
        <f t="shared" si="22"/>
        <v>0</v>
      </c>
      <c r="BR36" s="263">
        <f t="shared" si="23"/>
        <v>0</v>
      </c>
      <c r="BS36" s="263">
        <f t="shared" si="24"/>
        <v>0</v>
      </c>
      <c r="BT36" s="107">
        <f t="shared" si="42"/>
        <v>0</v>
      </c>
      <c r="BU36" s="264">
        <f t="shared" si="43"/>
        <v>0</v>
      </c>
      <c r="BV36" s="264">
        <f t="shared" si="25"/>
        <v>0</v>
      </c>
      <c r="BW36" s="265"/>
      <c r="BX36" s="361">
        <f t="shared" si="26"/>
        <v>0</v>
      </c>
      <c r="BY36" s="499">
        <f t="shared" si="27"/>
        <v>0</v>
      </c>
    </row>
    <row r="37" spans="2:77" ht="15.75" customHeight="1" x14ac:dyDescent="0.3">
      <c r="V37" s="294">
        <f t="shared" ref="V37:V47" si="46">IF(W37=1,DATE(YEAR($F$20)+(MONTH($F$20)&gt;=4),4,0),EOMONTH(V36,12))</f>
        <v>53417</v>
      </c>
      <c r="W37" s="366">
        <f t="shared" si="29"/>
        <v>20</v>
      </c>
      <c r="X37" s="366" t="str">
        <f t="shared" si="30"/>
        <v>-</v>
      </c>
      <c r="Y37" s="106">
        <f t="shared" si="0"/>
        <v>0</v>
      </c>
      <c r="Z37" s="107">
        <f t="shared" si="1"/>
        <v>0</v>
      </c>
      <c r="AA37" s="107">
        <f t="shared" si="2"/>
        <v>0</v>
      </c>
      <c r="AB37" s="107">
        <f t="shared" si="3"/>
        <v>0</v>
      </c>
      <c r="AC37" s="108">
        <f t="shared" ref="AC37:AC47" si="47">SUM(Y37:AB37)</f>
        <v>0</v>
      </c>
      <c r="AD37" s="106">
        <f t="shared" ref="AD37:AD47" si="48">IF($W37=$F$18,$O$33,0)</f>
        <v>0</v>
      </c>
      <c r="AE37" s="107">
        <f t="shared" si="5"/>
        <v>0</v>
      </c>
      <c r="AF37" s="107">
        <f t="shared" si="32"/>
        <v>0</v>
      </c>
      <c r="AG37" s="368">
        <f>IF(AND($W37&gt;$O$83, SUM($AA$17:AA36)&gt;0,SUM($AG$17:AG36)&lt;$O$79),$O$82,0)</f>
        <v>64.125</v>
      </c>
      <c r="AH37" s="107">
        <f>IF(SUM($AA$18:$AA36)&gt;0,($O$79-SUM($AG$18:$AG36))*$F$83,0)</f>
        <v>8.7530625000000004</v>
      </c>
      <c r="AI37" s="108">
        <f t="shared" ref="AI37:AI47" si="49">SUM(AD37:AH37)</f>
        <v>72.878062499999999</v>
      </c>
      <c r="AJ37" s="115">
        <f t="shared" si="34"/>
        <v>-72.878062499999999</v>
      </c>
      <c r="AK37" s="115">
        <f t="shared" si="44"/>
        <v>0</v>
      </c>
      <c r="AL37" s="277"/>
      <c r="AM37" s="264">
        <f t="shared" ref="AM37:AM47" si="50">AJ37*$BF37</f>
        <v>-34.676793474878963</v>
      </c>
      <c r="AN37" s="278"/>
      <c r="AO37" s="266">
        <f t="shared" si="8"/>
        <v>0</v>
      </c>
      <c r="AP37" s="263">
        <f t="shared" si="9"/>
        <v>0</v>
      </c>
      <c r="AQ37" s="263">
        <f t="shared" si="10"/>
        <v>0</v>
      </c>
      <c r="AR37" s="260">
        <f t="shared" si="11"/>
        <v>0</v>
      </c>
      <c r="AS37" s="261">
        <f t="shared" ref="AS37:AS47" si="51">SUM(AO37:AR37)</f>
        <v>0</v>
      </c>
      <c r="AT37" s="260">
        <f t="shared" ref="AT37:AT47" si="52">IF(W37=$F$18,$P$33,0)</f>
        <v>0</v>
      </c>
      <c r="AU37" s="260">
        <f t="shared" si="13"/>
        <v>0</v>
      </c>
      <c r="AV37" s="260">
        <f t="shared" si="14"/>
        <v>0</v>
      </c>
      <c r="AW37" s="260">
        <f t="shared" si="15"/>
        <v>0</v>
      </c>
      <c r="AX37" s="368">
        <f t="shared" si="36"/>
        <v>0</v>
      </c>
      <c r="AY37" s="260">
        <f t="shared" si="16"/>
        <v>0</v>
      </c>
      <c r="AZ37" s="368">
        <f>IF(AND($W37&gt;$P$83, SUM($AQ$17:AQ36)&gt;0,SUM($AZ$17:AZ36)&lt;$P$79),$P$82,0)</f>
        <v>64.125</v>
      </c>
      <c r="BA37" s="107">
        <f>IF(SUM($AQ$18:$AQ36)&gt;0,($P$79-SUM($AZ$18:$AZ36))*$F$83,0)</f>
        <v>8.7530625000000004</v>
      </c>
      <c r="BB37" s="261">
        <f t="shared" ref="BB37:BB47" si="53">SUM(AT37:BA37)</f>
        <v>72.878062499999999</v>
      </c>
      <c r="BC37" s="263">
        <f t="shared" ref="BC37:BC47" si="54">AS37-BB37</f>
        <v>-72.878062499999999</v>
      </c>
      <c r="BD37" s="264">
        <f t="shared" ref="BD37:BD47" si="55">BC37*$BF37</f>
        <v>-34.676793474878963</v>
      </c>
      <c r="BE37" s="279"/>
      <c r="BF37" s="180">
        <f t="shared" ref="BF37:BF47" si="56">BF36/(1+$O$25)</f>
        <v>0.4758193657368287</v>
      </c>
      <c r="BH37" s="266">
        <f t="shared" ref="BH37:BH47" si="57">AT37</f>
        <v>0</v>
      </c>
      <c r="BI37" s="266">
        <f t="shared" ref="BI37:BI47" si="58">AU37</f>
        <v>0</v>
      </c>
      <c r="BJ37" s="263">
        <f t="shared" ref="BJ37:BJ47" si="59">AV37</f>
        <v>0</v>
      </c>
      <c r="BK37" s="263">
        <f t="shared" ref="BK37:BK47" si="60">AW37</f>
        <v>0</v>
      </c>
      <c r="BL37" s="263">
        <f t="shared" ref="BL37:BL47" si="61">AY37</f>
        <v>0</v>
      </c>
      <c r="BM37" s="260">
        <f t="shared" si="18"/>
        <v>0</v>
      </c>
      <c r="BN37" s="264">
        <f t="shared" ref="BN37:BN47" si="62">SUM(BH37:BM37)</f>
        <v>0</v>
      </c>
      <c r="BO37" s="263">
        <f t="shared" ref="BO37:BO47" si="63">IF($W37=$F$18,$P$35,0)</f>
        <v>0</v>
      </c>
      <c r="BP37" s="263">
        <f t="shared" si="21"/>
        <v>0</v>
      </c>
      <c r="BQ37" s="263">
        <f t="shared" si="22"/>
        <v>0</v>
      </c>
      <c r="BR37" s="263">
        <f t="shared" si="23"/>
        <v>0</v>
      </c>
      <c r="BS37" s="263">
        <f t="shared" si="24"/>
        <v>0</v>
      </c>
      <c r="BT37" s="107">
        <f t="shared" si="42"/>
        <v>0</v>
      </c>
      <c r="BU37" s="264">
        <f t="shared" ref="BU37:BU47" si="64">SUM(BO37:BT37)</f>
        <v>0</v>
      </c>
      <c r="BV37" s="264">
        <f t="shared" ref="BV37:BV47" si="65">BN37-BU37</f>
        <v>0</v>
      </c>
      <c r="BW37" s="265"/>
      <c r="BX37" s="361">
        <f t="shared" si="26"/>
        <v>0</v>
      </c>
      <c r="BY37" s="499">
        <f t="shared" ref="BY37:BY47" si="66">IF(W37&lt;=$F$18,0,IF(BV37&gt;=BX37,0,1))</f>
        <v>0</v>
      </c>
    </row>
    <row r="38" spans="2:77" ht="15.75" customHeight="1" x14ac:dyDescent="0.3">
      <c r="V38" s="294">
        <f t="shared" si="46"/>
        <v>53782</v>
      </c>
      <c r="W38" s="366">
        <f t="shared" si="29"/>
        <v>21</v>
      </c>
      <c r="X38" s="366" t="str">
        <f t="shared" si="30"/>
        <v>-</v>
      </c>
      <c r="Y38" s="106">
        <f t="shared" si="0"/>
        <v>0</v>
      </c>
      <c r="Z38" s="107">
        <f t="shared" si="1"/>
        <v>0</v>
      </c>
      <c r="AA38" s="107">
        <f t="shared" si="2"/>
        <v>0</v>
      </c>
      <c r="AB38" s="107">
        <f t="shared" si="3"/>
        <v>0</v>
      </c>
      <c r="AC38" s="108">
        <f t="shared" si="47"/>
        <v>0</v>
      </c>
      <c r="AD38" s="106">
        <f t="shared" si="48"/>
        <v>0</v>
      </c>
      <c r="AE38" s="107">
        <f t="shared" si="5"/>
        <v>0</v>
      </c>
      <c r="AF38" s="107">
        <f t="shared" si="32"/>
        <v>0</v>
      </c>
      <c r="AG38" s="368">
        <f>IF(AND($W38&gt;$O$83, SUM($AA$17:AA37)&gt;0,SUM($AG$17:AG37)&lt;$O$79),$O$82,0)</f>
        <v>64.125</v>
      </c>
      <c r="AH38" s="107">
        <f>IF(SUM($AA$18:$AA37)&gt;0,($O$79-SUM($AG$18:$AG37))*$F$83,0)</f>
        <v>7.5026250000000001</v>
      </c>
      <c r="AI38" s="108">
        <f t="shared" si="49"/>
        <v>71.627624999999995</v>
      </c>
      <c r="AJ38" s="115">
        <f t="shared" si="34"/>
        <v>-71.627624999999995</v>
      </c>
      <c r="AK38" s="115">
        <f t="shared" si="44"/>
        <v>0</v>
      </c>
      <c r="AL38" s="277"/>
      <c r="AM38" s="264">
        <f t="shared" si="50"/>
        <v>-32.839366504407657</v>
      </c>
      <c r="AN38" s="278"/>
      <c r="AO38" s="266">
        <f t="shared" si="8"/>
        <v>0</v>
      </c>
      <c r="AP38" s="263">
        <f t="shared" si="9"/>
        <v>0</v>
      </c>
      <c r="AQ38" s="263">
        <f t="shared" si="10"/>
        <v>0</v>
      </c>
      <c r="AR38" s="260">
        <f t="shared" si="11"/>
        <v>0</v>
      </c>
      <c r="AS38" s="261">
        <f t="shared" si="51"/>
        <v>0</v>
      </c>
      <c r="AT38" s="260">
        <f t="shared" si="52"/>
        <v>0</v>
      </c>
      <c r="AU38" s="260">
        <f t="shared" si="13"/>
        <v>0</v>
      </c>
      <c r="AV38" s="260">
        <f t="shared" si="14"/>
        <v>0</v>
      </c>
      <c r="AW38" s="260">
        <f t="shared" si="15"/>
        <v>0</v>
      </c>
      <c r="AX38" s="368">
        <f t="shared" si="36"/>
        <v>0</v>
      </c>
      <c r="AY38" s="260">
        <f t="shared" si="16"/>
        <v>0</v>
      </c>
      <c r="AZ38" s="368">
        <f>IF(AND($W38&gt;$P$83, SUM($AQ$17:AQ37)&gt;0,SUM($AZ$17:AZ37)&lt;$P$79),$P$82,0)</f>
        <v>64.125</v>
      </c>
      <c r="BA38" s="107">
        <f>IF(SUM($AQ$18:$AQ37)&gt;0,($P$79-SUM($AZ$18:$AZ37))*$F$83,0)</f>
        <v>7.5026250000000001</v>
      </c>
      <c r="BB38" s="261">
        <f t="shared" si="53"/>
        <v>71.627624999999995</v>
      </c>
      <c r="BC38" s="263">
        <f t="shared" si="54"/>
        <v>-71.627624999999995</v>
      </c>
      <c r="BD38" s="264">
        <f t="shared" si="55"/>
        <v>-32.839366504407657</v>
      </c>
      <c r="BE38" s="279"/>
      <c r="BF38" s="180">
        <f t="shared" si="56"/>
        <v>0.45847348009106342</v>
      </c>
      <c r="BH38" s="266">
        <f t="shared" si="57"/>
        <v>0</v>
      </c>
      <c r="BI38" s="266">
        <f t="shared" si="58"/>
        <v>0</v>
      </c>
      <c r="BJ38" s="263">
        <f t="shared" si="59"/>
        <v>0</v>
      </c>
      <c r="BK38" s="263">
        <f t="shared" si="60"/>
        <v>0</v>
      </c>
      <c r="BL38" s="263">
        <f t="shared" si="61"/>
        <v>0</v>
      </c>
      <c r="BM38" s="260">
        <f t="shared" si="18"/>
        <v>0</v>
      </c>
      <c r="BN38" s="264">
        <f t="shared" si="62"/>
        <v>0</v>
      </c>
      <c r="BO38" s="263">
        <f t="shared" si="63"/>
        <v>0</v>
      </c>
      <c r="BP38" s="263">
        <f t="shared" si="21"/>
        <v>0</v>
      </c>
      <c r="BQ38" s="263">
        <f t="shared" si="22"/>
        <v>0</v>
      </c>
      <c r="BR38" s="263">
        <f t="shared" si="23"/>
        <v>0</v>
      </c>
      <c r="BS38" s="263">
        <f t="shared" si="24"/>
        <v>0</v>
      </c>
      <c r="BT38" s="107">
        <f t="shared" si="42"/>
        <v>0</v>
      </c>
      <c r="BU38" s="264">
        <f t="shared" si="64"/>
        <v>0</v>
      </c>
      <c r="BV38" s="264">
        <f t="shared" si="65"/>
        <v>0</v>
      </c>
      <c r="BW38" s="265"/>
      <c r="BX38" s="361">
        <f t="shared" si="26"/>
        <v>0</v>
      </c>
      <c r="BY38" s="499">
        <f t="shared" si="66"/>
        <v>0</v>
      </c>
    </row>
    <row r="39" spans="2:77" ht="15.75" customHeight="1" x14ac:dyDescent="0.3">
      <c r="B39" s="226" t="s">
        <v>163</v>
      </c>
      <c r="J39" s="226" t="s">
        <v>163</v>
      </c>
      <c r="P39" s="21" t="s">
        <v>98</v>
      </c>
      <c r="V39" s="294">
        <f t="shared" si="46"/>
        <v>54148</v>
      </c>
      <c r="W39" s="366">
        <f t="shared" si="29"/>
        <v>22</v>
      </c>
      <c r="X39" s="366" t="str">
        <f t="shared" si="30"/>
        <v>-</v>
      </c>
      <c r="Y39" s="106">
        <f t="shared" si="0"/>
        <v>0</v>
      </c>
      <c r="Z39" s="107">
        <f t="shared" si="1"/>
        <v>0</v>
      </c>
      <c r="AA39" s="107">
        <f t="shared" si="2"/>
        <v>0</v>
      </c>
      <c r="AB39" s="107">
        <f t="shared" si="3"/>
        <v>0</v>
      </c>
      <c r="AC39" s="108">
        <f t="shared" si="47"/>
        <v>0</v>
      </c>
      <c r="AD39" s="106">
        <f t="shared" si="48"/>
        <v>0</v>
      </c>
      <c r="AE39" s="107">
        <f t="shared" si="5"/>
        <v>0</v>
      </c>
      <c r="AF39" s="107">
        <f t="shared" si="32"/>
        <v>0</v>
      </c>
      <c r="AG39" s="368">
        <f>IF(AND($W39&gt;$O$83, SUM($AA$17:AA38)&gt;0,SUM($AG$17:AG38)&lt;$O$79),$O$82,0)</f>
        <v>64.125</v>
      </c>
      <c r="AH39" s="107">
        <f>IF(SUM($AA$18:$AA38)&gt;0,($O$79-SUM($AG$18:$AG38))*$F$83,0)</f>
        <v>6.2521874999999998</v>
      </c>
      <c r="AI39" s="108">
        <f t="shared" si="49"/>
        <v>70.377187500000005</v>
      </c>
      <c r="AJ39" s="115">
        <f t="shared" si="34"/>
        <v>-70.377187500000005</v>
      </c>
      <c r="AK39" s="115">
        <f t="shared" si="44"/>
        <v>0</v>
      </c>
      <c r="AL39" s="277"/>
      <c r="AM39" s="264">
        <f t="shared" si="50"/>
        <v>-31.089821755835992</v>
      </c>
      <c r="AN39" s="278"/>
      <c r="AO39" s="266">
        <f t="shared" si="8"/>
        <v>0</v>
      </c>
      <c r="AP39" s="263">
        <f t="shared" si="9"/>
        <v>0</v>
      </c>
      <c r="AQ39" s="263">
        <f t="shared" si="10"/>
        <v>0</v>
      </c>
      <c r="AR39" s="260">
        <f t="shared" si="11"/>
        <v>0</v>
      </c>
      <c r="AS39" s="261">
        <f t="shared" si="51"/>
        <v>0</v>
      </c>
      <c r="AT39" s="260">
        <f t="shared" si="52"/>
        <v>0</v>
      </c>
      <c r="AU39" s="260">
        <f t="shared" si="13"/>
        <v>0</v>
      </c>
      <c r="AV39" s="260">
        <f t="shared" si="14"/>
        <v>0</v>
      </c>
      <c r="AW39" s="260">
        <f t="shared" si="15"/>
        <v>0</v>
      </c>
      <c r="AX39" s="368">
        <f t="shared" si="36"/>
        <v>0</v>
      </c>
      <c r="AY39" s="260">
        <f t="shared" si="16"/>
        <v>0</v>
      </c>
      <c r="AZ39" s="368">
        <f>IF(AND($W39&gt;$P$83, SUM($AQ$17:AQ38)&gt;0,SUM($AZ$17:AZ38)&lt;$P$79),$P$82,0)</f>
        <v>64.125</v>
      </c>
      <c r="BA39" s="107">
        <f>IF(SUM($AQ$18:$AQ38)&gt;0,($P$79-SUM($AZ$18:$AZ38))*$F$83,0)</f>
        <v>6.2521874999999998</v>
      </c>
      <c r="BB39" s="261">
        <f t="shared" si="53"/>
        <v>70.377187500000005</v>
      </c>
      <c r="BC39" s="263">
        <f t="shared" si="54"/>
        <v>-70.377187500000005</v>
      </c>
      <c r="BD39" s="264">
        <f t="shared" si="55"/>
        <v>-31.089821755835992</v>
      </c>
      <c r="BE39" s="279"/>
      <c r="BF39" s="180">
        <f t="shared" si="56"/>
        <v>0.44175993472083536</v>
      </c>
      <c r="BH39" s="266">
        <f t="shared" si="57"/>
        <v>0</v>
      </c>
      <c r="BI39" s="266">
        <f t="shared" si="58"/>
        <v>0</v>
      </c>
      <c r="BJ39" s="263">
        <f t="shared" si="59"/>
        <v>0</v>
      </c>
      <c r="BK39" s="263">
        <f t="shared" si="60"/>
        <v>0</v>
      </c>
      <c r="BL39" s="263">
        <f t="shared" si="61"/>
        <v>0</v>
      </c>
      <c r="BM39" s="260">
        <f t="shared" si="18"/>
        <v>0</v>
      </c>
      <c r="BN39" s="264">
        <f t="shared" si="62"/>
        <v>0</v>
      </c>
      <c r="BO39" s="263">
        <f t="shared" si="63"/>
        <v>0</v>
      </c>
      <c r="BP39" s="263">
        <f t="shared" si="21"/>
        <v>0</v>
      </c>
      <c r="BQ39" s="263">
        <f t="shared" si="22"/>
        <v>0</v>
      </c>
      <c r="BR39" s="263">
        <f t="shared" si="23"/>
        <v>0</v>
      </c>
      <c r="BS39" s="263">
        <f t="shared" si="24"/>
        <v>0</v>
      </c>
      <c r="BT39" s="107">
        <f t="shared" si="42"/>
        <v>0</v>
      </c>
      <c r="BU39" s="264">
        <f t="shared" si="64"/>
        <v>0</v>
      </c>
      <c r="BV39" s="264">
        <f t="shared" si="65"/>
        <v>0</v>
      </c>
      <c r="BW39" s="265"/>
      <c r="BX39" s="361">
        <f t="shared" si="26"/>
        <v>0</v>
      </c>
      <c r="BY39" s="499">
        <f t="shared" si="66"/>
        <v>0</v>
      </c>
    </row>
    <row r="40" spans="2:77" ht="15.75" customHeight="1" x14ac:dyDescent="0.45">
      <c r="B40" s="119"/>
      <c r="C40" s="21" t="s">
        <v>164</v>
      </c>
      <c r="D40" s="191" t="s">
        <v>25</v>
      </c>
      <c r="F40" s="415"/>
      <c r="H40" s="120" t="s">
        <v>160</v>
      </c>
      <c r="J40" s="312"/>
      <c r="K40" s="119" t="s">
        <v>165</v>
      </c>
      <c r="N40" s="191" t="s">
        <v>25</v>
      </c>
      <c r="O40" s="433"/>
      <c r="P40" s="433"/>
      <c r="V40" s="294">
        <f t="shared" si="46"/>
        <v>54513</v>
      </c>
      <c r="W40" s="366">
        <f t="shared" si="29"/>
        <v>23</v>
      </c>
      <c r="X40" s="366" t="str">
        <f t="shared" si="30"/>
        <v>-</v>
      </c>
      <c r="Y40" s="106">
        <f t="shared" si="0"/>
        <v>0</v>
      </c>
      <c r="Z40" s="107">
        <f t="shared" si="1"/>
        <v>0</v>
      </c>
      <c r="AA40" s="107">
        <f t="shared" si="2"/>
        <v>0</v>
      </c>
      <c r="AB40" s="107">
        <f t="shared" si="3"/>
        <v>0</v>
      </c>
      <c r="AC40" s="108">
        <f t="shared" si="47"/>
        <v>0</v>
      </c>
      <c r="AD40" s="106">
        <f t="shared" si="48"/>
        <v>0</v>
      </c>
      <c r="AE40" s="107">
        <f t="shared" si="5"/>
        <v>0</v>
      </c>
      <c r="AF40" s="107">
        <f t="shared" si="32"/>
        <v>0</v>
      </c>
      <c r="AG40" s="368">
        <f>IF(AND($W40&gt;$O$83, SUM($AA$17:AA39)&gt;0,SUM($AG$17:AG39)&lt;$O$79),$O$82,0)</f>
        <v>64.125</v>
      </c>
      <c r="AH40" s="107">
        <f>IF(SUM($AA$18:$AA39)&gt;0,($O$79-SUM($AG$18:$AG39))*$F$83,0)</f>
        <v>5.0017500000000004</v>
      </c>
      <c r="AI40" s="108">
        <f t="shared" si="49"/>
        <v>69.126750000000001</v>
      </c>
      <c r="AJ40" s="115">
        <f t="shared" si="34"/>
        <v>-69.126750000000001</v>
      </c>
      <c r="AK40" s="115">
        <f t="shared" si="44"/>
        <v>0</v>
      </c>
      <c r="AL40" s="277"/>
      <c r="AM40" s="264">
        <f t="shared" si="50"/>
        <v>-29.424193625824081</v>
      </c>
      <c r="AN40" s="278"/>
      <c r="AO40" s="266">
        <f t="shared" si="8"/>
        <v>0</v>
      </c>
      <c r="AP40" s="263">
        <f t="shared" si="9"/>
        <v>0</v>
      </c>
      <c r="AQ40" s="263">
        <f t="shared" si="10"/>
        <v>0</v>
      </c>
      <c r="AR40" s="260">
        <f t="shared" si="11"/>
        <v>0</v>
      </c>
      <c r="AS40" s="261">
        <f t="shared" si="51"/>
        <v>0</v>
      </c>
      <c r="AT40" s="260">
        <f t="shared" si="52"/>
        <v>0</v>
      </c>
      <c r="AU40" s="260">
        <f t="shared" si="13"/>
        <v>0</v>
      </c>
      <c r="AV40" s="260">
        <f t="shared" si="14"/>
        <v>0</v>
      </c>
      <c r="AW40" s="260">
        <f t="shared" si="15"/>
        <v>0</v>
      </c>
      <c r="AX40" s="368">
        <f t="shared" si="36"/>
        <v>0</v>
      </c>
      <c r="AY40" s="260">
        <f t="shared" si="16"/>
        <v>0</v>
      </c>
      <c r="AZ40" s="368">
        <f>IF(AND($W40&gt;$P$83, SUM($AQ$17:AQ39)&gt;0,SUM($AZ$17:AZ39)&lt;$P$79),$P$82,0)</f>
        <v>64.125</v>
      </c>
      <c r="BA40" s="107">
        <f>IF(SUM($AQ$18:$AQ39)&gt;0,($P$79-SUM($AZ$18:$AZ39))*$F$83,0)</f>
        <v>5.0017500000000004</v>
      </c>
      <c r="BB40" s="261">
        <f t="shared" si="53"/>
        <v>69.126750000000001</v>
      </c>
      <c r="BC40" s="263">
        <f t="shared" si="54"/>
        <v>-69.126750000000001</v>
      </c>
      <c r="BD40" s="264">
        <f t="shared" si="55"/>
        <v>-29.424193625824081</v>
      </c>
      <c r="BE40" s="279"/>
      <c r="BF40" s="180">
        <f t="shared" si="56"/>
        <v>0.42565567780669683</v>
      </c>
      <c r="BH40" s="266">
        <f t="shared" si="57"/>
        <v>0</v>
      </c>
      <c r="BI40" s="266">
        <f t="shared" si="58"/>
        <v>0</v>
      </c>
      <c r="BJ40" s="263">
        <f t="shared" si="59"/>
        <v>0</v>
      </c>
      <c r="BK40" s="263">
        <f t="shared" si="60"/>
        <v>0</v>
      </c>
      <c r="BL40" s="263">
        <f t="shared" si="61"/>
        <v>0</v>
      </c>
      <c r="BM40" s="260">
        <f t="shared" si="18"/>
        <v>0</v>
      </c>
      <c r="BN40" s="264">
        <f t="shared" si="62"/>
        <v>0</v>
      </c>
      <c r="BO40" s="263">
        <f t="shared" si="63"/>
        <v>0</v>
      </c>
      <c r="BP40" s="263">
        <f t="shared" si="21"/>
        <v>0</v>
      </c>
      <c r="BQ40" s="263">
        <f t="shared" si="22"/>
        <v>0</v>
      </c>
      <c r="BR40" s="263">
        <f t="shared" si="23"/>
        <v>0</v>
      </c>
      <c r="BS40" s="263">
        <f t="shared" si="24"/>
        <v>0</v>
      </c>
      <c r="BT40" s="107">
        <f t="shared" si="42"/>
        <v>0</v>
      </c>
      <c r="BU40" s="264">
        <f t="shared" si="64"/>
        <v>0</v>
      </c>
      <c r="BV40" s="264">
        <f t="shared" si="65"/>
        <v>0</v>
      </c>
      <c r="BW40" s="265"/>
      <c r="BX40" s="361">
        <f t="shared" si="26"/>
        <v>0</v>
      </c>
      <c r="BY40" s="499">
        <f t="shared" si="66"/>
        <v>0</v>
      </c>
    </row>
    <row r="41" spans="2:77" ht="15.75" customHeight="1" x14ac:dyDescent="0.3">
      <c r="C41" s="21" t="s">
        <v>166</v>
      </c>
      <c r="D41" s="191" t="s">
        <v>25</v>
      </c>
      <c r="F41" s="431"/>
      <c r="H41" s="120" t="s">
        <v>160</v>
      </c>
      <c r="J41" s="35"/>
      <c r="V41" s="294">
        <f t="shared" si="46"/>
        <v>54878</v>
      </c>
      <c r="W41" s="366">
        <f t="shared" si="29"/>
        <v>24</v>
      </c>
      <c r="X41" s="366" t="str">
        <f t="shared" si="30"/>
        <v>-</v>
      </c>
      <c r="Y41" s="106">
        <f t="shared" si="0"/>
        <v>0</v>
      </c>
      <c r="Z41" s="107">
        <f t="shared" si="1"/>
        <v>0</v>
      </c>
      <c r="AA41" s="107">
        <f t="shared" si="2"/>
        <v>0</v>
      </c>
      <c r="AB41" s="107">
        <f t="shared" si="3"/>
        <v>0</v>
      </c>
      <c r="AC41" s="108">
        <f t="shared" si="47"/>
        <v>0</v>
      </c>
      <c r="AD41" s="106">
        <f t="shared" si="48"/>
        <v>0</v>
      </c>
      <c r="AE41" s="107">
        <f t="shared" si="5"/>
        <v>0</v>
      </c>
      <c r="AF41" s="107">
        <f t="shared" si="32"/>
        <v>0</v>
      </c>
      <c r="AG41" s="368">
        <f>IF(AND($W41&gt;$O$83, SUM($AA$17:AA40)&gt;0,SUM($AG$17:AG40)&lt;$O$79),$O$82,0)</f>
        <v>64.125</v>
      </c>
      <c r="AH41" s="107">
        <f>IF(SUM($AA$18:$AA40)&gt;0,($O$79-SUM($AG$18:$AG40))*$F$83,0)</f>
        <v>3.7513125</v>
      </c>
      <c r="AI41" s="108">
        <f t="shared" si="49"/>
        <v>67.876312499999997</v>
      </c>
      <c r="AJ41" s="115">
        <f t="shared" si="34"/>
        <v>-67.876312499999997</v>
      </c>
      <c r="AK41" s="115">
        <f t="shared" si="44"/>
        <v>0</v>
      </c>
      <c r="AL41" s="277"/>
      <c r="AM41" s="264">
        <f t="shared" si="50"/>
        <v>-27.838688850246445</v>
      </c>
      <c r="AN41" s="278"/>
      <c r="AO41" s="266">
        <f t="shared" si="8"/>
        <v>0</v>
      </c>
      <c r="AP41" s="263">
        <f t="shared" si="9"/>
        <v>0</v>
      </c>
      <c r="AQ41" s="263">
        <f t="shared" si="10"/>
        <v>0</v>
      </c>
      <c r="AR41" s="260">
        <f t="shared" si="11"/>
        <v>0</v>
      </c>
      <c r="AS41" s="261">
        <f t="shared" si="51"/>
        <v>0</v>
      </c>
      <c r="AT41" s="260">
        <f t="shared" si="52"/>
        <v>0</v>
      </c>
      <c r="AU41" s="260">
        <f t="shared" si="13"/>
        <v>0</v>
      </c>
      <c r="AV41" s="260">
        <f t="shared" si="14"/>
        <v>0</v>
      </c>
      <c r="AW41" s="260">
        <f t="shared" si="15"/>
        <v>0</v>
      </c>
      <c r="AX41" s="368">
        <f t="shared" si="36"/>
        <v>0</v>
      </c>
      <c r="AY41" s="260">
        <f t="shared" si="16"/>
        <v>0</v>
      </c>
      <c r="AZ41" s="368">
        <f>IF(AND($W41&gt;$P$83, SUM($AQ$17:AQ40)&gt;0,SUM($AZ$17:AZ40)&lt;$P$79),$P$82,0)</f>
        <v>64.125</v>
      </c>
      <c r="BA41" s="107">
        <f>IF(SUM($AQ$18:$AQ40)&gt;0,($P$79-SUM($AZ$18:$AZ40))*$F$83,0)</f>
        <v>3.7513125</v>
      </c>
      <c r="BB41" s="261">
        <f t="shared" si="53"/>
        <v>67.876312499999997</v>
      </c>
      <c r="BC41" s="263">
        <f t="shared" si="54"/>
        <v>-67.876312499999997</v>
      </c>
      <c r="BD41" s="264">
        <f t="shared" si="55"/>
        <v>-27.838688850246445</v>
      </c>
      <c r="BE41" s="279"/>
      <c r="BF41" s="180">
        <f t="shared" si="56"/>
        <v>0.41013849787798129</v>
      </c>
      <c r="BH41" s="266">
        <f t="shared" si="57"/>
        <v>0</v>
      </c>
      <c r="BI41" s="266">
        <f t="shared" si="58"/>
        <v>0</v>
      </c>
      <c r="BJ41" s="263">
        <f t="shared" si="59"/>
        <v>0</v>
      </c>
      <c r="BK41" s="263">
        <f t="shared" si="60"/>
        <v>0</v>
      </c>
      <c r="BL41" s="263">
        <f t="shared" si="61"/>
        <v>0</v>
      </c>
      <c r="BM41" s="260">
        <f t="shared" si="18"/>
        <v>0</v>
      </c>
      <c r="BN41" s="264">
        <f t="shared" si="62"/>
        <v>0</v>
      </c>
      <c r="BO41" s="263">
        <f t="shared" si="63"/>
        <v>0</v>
      </c>
      <c r="BP41" s="263">
        <f t="shared" si="21"/>
        <v>0</v>
      </c>
      <c r="BQ41" s="263">
        <f t="shared" si="22"/>
        <v>0</v>
      </c>
      <c r="BR41" s="263">
        <f t="shared" si="23"/>
        <v>0</v>
      </c>
      <c r="BS41" s="263">
        <f t="shared" si="24"/>
        <v>0</v>
      </c>
      <c r="BT41" s="107">
        <f t="shared" si="42"/>
        <v>0</v>
      </c>
      <c r="BU41" s="264">
        <f t="shared" si="64"/>
        <v>0</v>
      </c>
      <c r="BV41" s="264">
        <f t="shared" si="65"/>
        <v>0</v>
      </c>
      <c r="BW41" s="265"/>
      <c r="BX41" s="361">
        <f t="shared" si="26"/>
        <v>0</v>
      </c>
      <c r="BY41" s="499">
        <f t="shared" si="66"/>
        <v>0</v>
      </c>
    </row>
    <row r="42" spans="2:77" ht="15.75" customHeight="1" x14ac:dyDescent="0.45">
      <c r="C42" s="21" t="s">
        <v>167</v>
      </c>
      <c r="D42" s="191" t="s">
        <v>25</v>
      </c>
      <c r="F42" s="415"/>
      <c r="H42" s="120" t="s">
        <v>160</v>
      </c>
      <c r="V42" s="294">
        <f t="shared" si="46"/>
        <v>55243</v>
      </c>
      <c r="W42" s="366">
        <f t="shared" si="29"/>
        <v>25</v>
      </c>
      <c r="X42" s="366" t="str">
        <f t="shared" si="30"/>
        <v>-</v>
      </c>
      <c r="Y42" s="106">
        <f t="shared" si="0"/>
        <v>0</v>
      </c>
      <c r="Z42" s="107">
        <f t="shared" si="1"/>
        <v>0</v>
      </c>
      <c r="AA42" s="107">
        <f t="shared" si="2"/>
        <v>0</v>
      </c>
      <c r="AB42" s="107">
        <f t="shared" si="3"/>
        <v>0</v>
      </c>
      <c r="AC42" s="108">
        <f t="shared" si="47"/>
        <v>0</v>
      </c>
      <c r="AD42" s="106">
        <f t="shared" si="48"/>
        <v>0</v>
      </c>
      <c r="AE42" s="107">
        <f t="shared" si="5"/>
        <v>0</v>
      </c>
      <c r="AF42" s="107">
        <f t="shared" si="32"/>
        <v>0</v>
      </c>
      <c r="AG42" s="368">
        <f>IF(AND($W42&gt;$O$83, SUM($AA$17:AA41)&gt;0,SUM($AG$17:AG41)&lt;$O$79),$O$82,0)</f>
        <v>64.125</v>
      </c>
      <c r="AH42" s="107">
        <f>IF(SUM($AA$18:$AA41)&gt;0,($O$79-SUM($AG$18:$AG41))*$F$83,0)</f>
        <v>2.5008750000000002</v>
      </c>
      <c r="AI42" s="108">
        <f t="shared" si="49"/>
        <v>66.625874999999994</v>
      </c>
      <c r="AJ42" s="115">
        <f t="shared" si="34"/>
        <v>-66.625874999999994</v>
      </c>
      <c r="AK42" s="115">
        <f t="shared" si="44"/>
        <v>0</v>
      </c>
      <c r="AL42" s="277"/>
      <c r="AM42" s="264">
        <f t="shared" si="50"/>
        <v>-26.329679209108726</v>
      </c>
      <c r="AN42" s="278"/>
      <c r="AO42" s="266">
        <f t="shared" si="8"/>
        <v>0</v>
      </c>
      <c r="AP42" s="263">
        <f t="shared" si="9"/>
        <v>0</v>
      </c>
      <c r="AQ42" s="263">
        <f t="shared" si="10"/>
        <v>0</v>
      </c>
      <c r="AR42" s="260">
        <f t="shared" si="11"/>
        <v>0</v>
      </c>
      <c r="AS42" s="261">
        <f t="shared" si="51"/>
        <v>0</v>
      </c>
      <c r="AT42" s="260">
        <f t="shared" si="52"/>
        <v>0</v>
      </c>
      <c r="AU42" s="260">
        <f t="shared" si="13"/>
        <v>0</v>
      </c>
      <c r="AV42" s="260">
        <f t="shared" si="14"/>
        <v>0</v>
      </c>
      <c r="AW42" s="260">
        <f t="shared" si="15"/>
        <v>0</v>
      </c>
      <c r="AX42" s="368">
        <f t="shared" si="36"/>
        <v>0</v>
      </c>
      <c r="AY42" s="260">
        <f t="shared" si="16"/>
        <v>0</v>
      </c>
      <c r="AZ42" s="368">
        <f>IF(AND($W42&gt;$P$83, SUM($AQ$17:AQ41)&gt;0,SUM($AZ$17:AZ41)&lt;$P$79),$P$82,0)</f>
        <v>64.125</v>
      </c>
      <c r="BA42" s="107">
        <f>IF(SUM($AQ$18:$AQ41)&gt;0,($P$79-SUM($AZ$18:$AZ41))*$F$83,0)</f>
        <v>2.5008750000000002</v>
      </c>
      <c r="BB42" s="261">
        <f t="shared" si="53"/>
        <v>66.625874999999994</v>
      </c>
      <c r="BC42" s="263">
        <f t="shared" si="54"/>
        <v>-66.625874999999994</v>
      </c>
      <c r="BD42" s="264">
        <f t="shared" si="55"/>
        <v>-26.329679209108726</v>
      </c>
      <c r="BE42" s="280"/>
      <c r="BF42" s="180">
        <f t="shared" si="56"/>
        <v>0.39518699317808176</v>
      </c>
      <c r="BH42" s="266">
        <f t="shared" si="57"/>
        <v>0</v>
      </c>
      <c r="BI42" s="266">
        <f t="shared" si="58"/>
        <v>0</v>
      </c>
      <c r="BJ42" s="263">
        <f t="shared" si="59"/>
        <v>0</v>
      </c>
      <c r="BK42" s="263">
        <f t="shared" si="60"/>
        <v>0</v>
      </c>
      <c r="BL42" s="263">
        <f t="shared" si="61"/>
        <v>0</v>
      </c>
      <c r="BM42" s="260">
        <f t="shared" si="18"/>
        <v>0</v>
      </c>
      <c r="BN42" s="264">
        <f t="shared" si="62"/>
        <v>0</v>
      </c>
      <c r="BO42" s="263">
        <f t="shared" si="63"/>
        <v>0</v>
      </c>
      <c r="BP42" s="263">
        <f t="shared" si="21"/>
        <v>0</v>
      </c>
      <c r="BQ42" s="263">
        <f t="shared" si="22"/>
        <v>0</v>
      </c>
      <c r="BR42" s="263">
        <f t="shared" si="23"/>
        <v>0</v>
      </c>
      <c r="BS42" s="263">
        <f t="shared" si="24"/>
        <v>0</v>
      </c>
      <c r="BT42" s="107">
        <f t="shared" si="42"/>
        <v>0</v>
      </c>
      <c r="BU42" s="264">
        <f t="shared" si="64"/>
        <v>0</v>
      </c>
      <c r="BV42" s="264">
        <f t="shared" si="65"/>
        <v>0</v>
      </c>
      <c r="BW42" s="265"/>
      <c r="BX42" s="361">
        <f t="shared" si="26"/>
        <v>0</v>
      </c>
      <c r="BY42" s="499">
        <f t="shared" si="66"/>
        <v>0</v>
      </c>
    </row>
    <row r="43" spans="2:77" ht="15.75" customHeight="1" x14ac:dyDescent="0.3">
      <c r="C43" s="421"/>
      <c r="V43" s="294">
        <f t="shared" si="46"/>
        <v>55609</v>
      </c>
      <c r="W43" s="366">
        <f t="shared" si="29"/>
        <v>26</v>
      </c>
      <c r="X43" s="366" t="str">
        <f t="shared" si="30"/>
        <v>-</v>
      </c>
      <c r="Y43" s="106">
        <f t="shared" si="0"/>
        <v>0</v>
      </c>
      <c r="Z43" s="107">
        <f t="shared" si="1"/>
        <v>0</v>
      </c>
      <c r="AA43" s="107">
        <f t="shared" si="2"/>
        <v>0</v>
      </c>
      <c r="AB43" s="107">
        <f t="shared" si="3"/>
        <v>0</v>
      </c>
      <c r="AC43" s="108">
        <f t="shared" si="47"/>
        <v>0</v>
      </c>
      <c r="AD43" s="106">
        <f t="shared" si="48"/>
        <v>0</v>
      </c>
      <c r="AE43" s="107">
        <f t="shared" si="5"/>
        <v>0</v>
      </c>
      <c r="AF43" s="107">
        <f t="shared" si="32"/>
        <v>0</v>
      </c>
      <c r="AG43" s="368">
        <f>IF(AND($W43&gt;$O$83, SUM($AA$17:AA42)&gt;0,SUM($AG$17:AG42)&lt;$O$79),$O$82,0)</f>
        <v>64.125</v>
      </c>
      <c r="AH43" s="107">
        <f>IF(SUM($AA$18:$AA42)&gt;0,($O$79-SUM($AG$18:$AG42))*$F$83,0)</f>
        <v>1.2504375000000001</v>
      </c>
      <c r="AI43" s="108">
        <f t="shared" si="49"/>
        <v>65.375437500000004</v>
      </c>
      <c r="AJ43" s="115">
        <f t="shared" si="34"/>
        <v>-65.375437500000004</v>
      </c>
      <c r="AK43" s="115">
        <f t="shared" si="44"/>
        <v>0</v>
      </c>
      <c r="AL43" s="277"/>
      <c r="AM43" s="264">
        <f t="shared" si="50"/>
        <v>-24.893694534315326</v>
      </c>
      <c r="AN43" s="278"/>
      <c r="AO43" s="266">
        <f t="shared" si="8"/>
        <v>0</v>
      </c>
      <c r="AP43" s="263">
        <f t="shared" si="9"/>
        <v>0</v>
      </c>
      <c r="AQ43" s="263">
        <f t="shared" si="10"/>
        <v>0</v>
      </c>
      <c r="AR43" s="260">
        <f t="shared" si="11"/>
        <v>0</v>
      </c>
      <c r="AS43" s="261">
        <f t="shared" si="51"/>
        <v>0</v>
      </c>
      <c r="AT43" s="260">
        <f t="shared" si="52"/>
        <v>0</v>
      </c>
      <c r="AU43" s="260">
        <f t="shared" si="13"/>
        <v>0</v>
      </c>
      <c r="AV43" s="260">
        <f t="shared" si="14"/>
        <v>0</v>
      </c>
      <c r="AW43" s="260">
        <f t="shared" si="15"/>
        <v>0</v>
      </c>
      <c r="AX43" s="368">
        <f t="shared" si="36"/>
        <v>0</v>
      </c>
      <c r="AY43" s="260">
        <f t="shared" si="16"/>
        <v>0</v>
      </c>
      <c r="AZ43" s="368">
        <f>IF(AND($W43&gt;$P$83, SUM($AQ$17:AQ42)&gt;0,SUM($AZ$17:AZ42)&lt;$P$79),$P$82,0)</f>
        <v>64.125</v>
      </c>
      <c r="BA43" s="107">
        <f>IF(SUM($AQ$18:$AQ42)&gt;0,($P$79-SUM($AZ$18:$AZ42))*$F$83,0)</f>
        <v>1.2504375000000001</v>
      </c>
      <c r="BB43" s="261">
        <f t="shared" si="53"/>
        <v>65.375437500000004</v>
      </c>
      <c r="BC43" s="263">
        <f t="shared" si="54"/>
        <v>-65.375437500000004</v>
      </c>
      <c r="BD43" s="264">
        <f t="shared" si="55"/>
        <v>-24.893694534315326</v>
      </c>
      <c r="BE43" s="280"/>
      <c r="BF43" s="180">
        <f t="shared" si="56"/>
        <v>0.38078054214651069</v>
      </c>
      <c r="BH43" s="266">
        <f t="shared" si="57"/>
        <v>0</v>
      </c>
      <c r="BI43" s="266">
        <f t="shared" si="58"/>
        <v>0</v>
      </c>
      <c r="BJ43" s="263">
        <f t="shared" si="59"/>
        <v>0</v>
      </c>
      <c r="BK43" s="263">
        <f t="shared" si="60"/>
        <v>0</v>
      </c>
      <c r="BL43" s="263">
        <f t="shared" si="61"/>
        <v>0</v>
      </c>
      <c r="BM43" s="260">
        <f t="shared" si="18"/>
        <v>0</v>
      </c>
      <c r="BN43" s="264">
        <f t="shared" si="62"/>
        <v>0</v>
      </c>
      <c r="BO43" s="263">
        <f t="shared" si="63"/>
        <v>0</v>
      </c>
      <c r="BP43" s="263">
        <f t="shared" si="21"/>
        <v>0</v>
      </c>
      <c r="BQ43" s="263">
        <f t="shared" si="22"/>
        <v>0</v>
      </c>
      <c r="BR43" s="263">
        <f t="shared" si="23"/>
        <v>0</v>
      </c>
      <c r="BS43" s="263">
        <f t="shared" si="24"/>
        <v>0</v>
      </c>
      <c r="BT43" s="107">
        <f t="shared" si="42"/>
        <v>0</v>
      </c>
      <c r="BU43" s="264">
        <f t="shared" si="64"/>
        <v>0</v>
      </c>
      <c r="BV43" s="264">
        <f t="shared" si="65"/>
        <v>0</v>
      </c>
      <c r="BW43" s="265"/>
      <c r="BX43" s="361">
        <f t="shared" si="26"/>
        <v>0</v>
      </c>
      <c r="BY43" s="499">
        <f t="shared" si="66"/>
        <v>0</v>
      </c>
    </row>
    <row r="44" spans="2:77" ht="15.75" customHeight="1" x14ac:dyDescent="0.3">
      <c r="V44" s="294">
        <f t="shared" si="46"/>
        <v>55974</v>
      </c>
      <c r="W44" s="366">
        <f t="shared" si="29"/>
        <v>27</v>
      </c>
      <c r="X44" s="366" t="str">
        <f t="shared" si="30"/>
        <v>-</v>
      </c>
      <c r="Y44" s="106">
        <f t="shared" si="0"/>
        <v>0</v>
      </c>
      <c r="Z44" s="107">
        <f t="shared" si="1"/>
        <v>0</v>
      </c>
      <c r="AA44" s="107">
        <f t="shared" si="2"/>
        <v>0</v>
      </c>
      <c r="AB44" s="107">
        <f t="shared" si="3"/>
        <v>0</v>
      </c>
      <c r="AC44" s="108">
        <f t="shared" si="47"/>
        <v>0</v>
      </c>
      <c r="AD44" s="106">
        <f t="shared" si="48"/>
        <v>0</v>
      </c>
      <c r="AE44" s="107">
        <f t="shared" si="5"/>
        <v>0</v>
      </c>
      <c r="AF44" s="107">
        <f t="shared" si="32"/>
        <v>0</v>
      </c>
      <c r="AG44" s="368">
        <f>IF(AND($W44&gt;$O$83, SUM($AA$17:AA43)&gt;0,SUM($AG$17:AG43)&lt;$O$79),$O$82,0)</f>
        <v>0</v>
      </c>
      <c r="AH44" s="107">
        <f>IF(SUM($AA$18:$AA43)&gt;0,($O$79-SUM($AG$18:$AG43))*$F$83,0)</f>
        <v>0</v>
      </c>
      <c r="AI44" s="108">
        <f t="shared" si="49"/>
        <v>0</v>
      </c>
      <c r="AJ44" s="115">
        <f t="shared" si="34"/>
        <v>0</v>
      </c>
      <c r="AK44" s="115">
        <f t="shared" si="44"/>
        <v>0</v>
      </c>
      <c r="AL44" s="277"/>
      <c r="AM44" s="264">
        <f t="shared" si="50"/>
        <v>0</v>
      </c>
      <c r="AN44" s="278"/>
      <c r="AO44" s="266">
        <f t="shared" si="8"/>
        <v>0</v>
      </c>
      <c r="AP44" s="263">
        <f t="shared" si="9"/>
        <v>0</v>
      </c>
      <c r="AQ44" s="263">
        <f t="shared" si="10"/>
        <v>0</v>
      </c>
      <c r="AR44" s="260">
        <f t="shared" si="11"/>
        <v>0</v>
      </c>
      <c r="AS44" s="261">
        <f t="shared" si="51"/>
        <v>0</v>
      </c>
      <c r="AT44" s="260">
        <f t="shared" si="52"/>
        <v>0</v>
      </c>
      <c r="AU44" s="260">
        <f t="shared" si="13"/>
        <v>0</v>
      </c>
      <c r="AV44" s="260">
        <f t="shared" si="14"/>
        <v>0</v>
      </c>
      <c r="AW44" s="260">
        <f t="shared" si="15"/>
        <v>0</v>
      </c>
      <c r="AX44" s="368">
        <f t="shared" si="36"/>
        <v>0</v>
      </c>
      <c r="AY44" s="260">
        <f t="shared" si="16"/>
        <v>0</v>
      </c>
      <c r="AZ44" s="368">
        <f>IF(AND($W44&gt;$P$83, SUM($AQ$17:AQ43)&gt;0,SUM($AZ$17:AZ43)&lt;$P$79),$P$82,0)</f>
        <v>0</v>
      </c>
      <c r="BA44" s="107">
        <f>IF(SUM($AQ$18:$AQ43)&gt;0,($P$79-SUM($AZ$18:$AZ43))*$F$83,0)</f>
        <v>0</v>
      </c>
      <c r="BB44" s="261">
        <f t="shared" si="53"/>
        <v>0</v>
      </c>
      <c r="BC44" s="263">
        <f t="shared" si="54"/>
        <v>0</v>
      </c>
      <c r="BD44" s="264">
        <f t="shared" si="55"/>
        <v>0</v>
      </c>
      <c r="BE44" s="280"/>
      <c r="BF44" s="180">
        <f t="shared" si="56"/>
        <v>0.36689927497702979</v>
      </c>
      <c r="BH44" s="266">
        <f t="shared" si="57"/>
        <v>0</v>
      </c>
      <c r="BI44" s="266">
        <f t="shared" si="58"/>
        <v>0</v>
      </c>
      <c r="BJ44" s="263">
        <f t="shared" si="59"/>
        <v>0</v>
      </c>
      <c r="BK44" s="263">
        <f t="shared" si="60"/>
        <v>0</v>
      </c>
      <c r="BL44" s="263">
        <f t="shared" si="61"/>
        <v>0</v>
      </c>
      <c r="BM44" s="260">
        <f t="shared" si="18"/>
        <v>0</v>
      </c>
      <c r="BN44" s="264">
        <f t="shared" si="62"/>
        <v>0</v>
      </c>
      <c r="BO44" s="263">
        <f t="shared" si="63"/>
        <v>0</v>
      </c>
      <c r="BP44" s="263">
        <f t="shared" si="21"/>
        <v>0</v>
      </c>
      <c r="BQ44" s="263">
        <f t="shared" si="22"/>
        <v>0</v>
      </c>
      <c r="BR44" s="263">
        <f t="shared" si="23"/>
        <v>0</v>
      </c>
      <c r="BS44" s="263">
        <f t="shared" si="24"/>
        <v>0</v>
      </c>
      <c r="BT44" s="107">
        <f t="shared" si="42"/>
        <v>0</v>
      </c>
      <c r="BU44" s="264">
        <f t="shared" si="64"/>
        <v>0</v>
      </c>
      <c r="BV44" s="264">
        <f t="shared" si="65"/>
        <v>0</v>
      </c>
      <c r="BW44" s="265"/>
      <c r="BX44" s="361">
        <f t="shared" si="26"/>
        <v>0</v>
      </c>
      <c r="BY44" s="499">
        <f t="shared" si="66"/>
        <v>0</v>
      </c>
    </row>
    <row r="45" spans="2:77" ht="15.75" customHeight="1" x14ac:dyDescent="0.3">
      <c r="B45" s="223" t="s">
        <v>168</v>
      </c>
      <c r="J45" s="223" t="s">
        <v>168</v>
      </c>
      <c r="K45" s="119"/>
      <c r="V45" s="294">
        <f t="shared" si="46"/>
        <v>56339</v>
      </c>
      <c r="W45" s="366">
        <f t="shared" si="29"/>
        <v>28</v>
      </c>
      <c r="X45" s="366" t="str">
        <f t="shared" si="30"/>
        <v>-</v>
      </c>
      <c r="Y45" s="106">
        <f t="shared" si="0"/>
        <v>0</v>
      </c>
      <c r="Z45" s="107">
        <f t="shared" si="1"/>
        <v>0</v>
      </c>
      <c r="AA45" s="107">
        <f t="shared" si="2"/>
        <v>0</v>
      </c>
      <c r="AB45" s="107">
        <f t="shared" si="3"/>
        <v>0</v>
      </c>
      <c r="AC45" s="108">
        <f t="shared" si="47"/>
        <v>0</v>
      </c>
      <c r="AD45" s="106">
        <f t="shared" si="48"/>
        <v>0</v>
      </c>
      <c r="AE45" s="107">
        <f t="shared" si="5"/>
        <v>0</v>
      </c>
      <c r="AF45" s="107">
        <f t="shared" si="32"/>
        <v>0</v>
      </c>
      <c r="AG45" s="368">
        <f>IF(AND($W45&gt;$O$83, SUM($AA$17:AA44)&gt;0,SUM($AG$17:AG44)&lt;$O$79),$O$82,0)</f>
        <v>0</v>
      </c>
      <c r="AH45" s="107">
        <f>IF(SUM($AA$18:$AA44)&gt;0,($O$79-SUM($AG$18:$AG44))*$F$83,0)</f>
        <v>0</v>
      </c>
      <c r="AI45" s="108">
        <f t="shared" si="49"/>
        <v>0</v>
      </c>
      <c r="AJ45" s="115">
        <f t="shared" si="34"/>
        <v>0</v>
      </c>
      <c r="AK45" s="115">
        <f t="shared" si="44"/>
        <v>0</v>
      </c>
      <c r="AL45" s="277"/>
      <c r="AM45" s="264">
        <f t="shared" si="50"/>
        <v>0</v>
      </c>
      <c r="AN45" s="278"/>
      <c r="AO45" s="266">
        <f t="shared" si="8"/>
        <v>0</v>
      </c>
      <c r="AP45" s="263">
        <f t="shared" si="9"/>
        <v>0</v>
      </c>
      <c r="AQ45" s="263">
        <f t="shared" si="10"/>
        <v>0</v>
      </c>
      <c r="AR45" s="260">
        <f t="shared" si="11"/>
        <v>0</v>
      </c>
      <c r="AS45" s="261">
        <f t="shared" si="51"/>
        <v>0</v>
      </c>
      <c r="AT45" s="260">
        <f t="shared" si="52"/>
        <v>0</v>
      </c>
      <c r="AU45" s="260">
        <f t="shared" si="13"/>
        <v>0</v>
      </c>
      <c r="AV45" s="260">
        <f t="shared" si="14"/>
        <v>0</v>
      </c>
      <c r="AW45" s="260">
        <f t="shared" si="15"/>
        <v>0</v>
      </c>
      <c r="AX45" s="368">
        <f t="shared" si="36"/>
        <v>0</v>
      </c>
      <c r="AY45" s="260">
        <f t="shared" si="16"/>
        <v>0</v>
      </c>
      <c r="AZ45" s="368">
        <f>IF(AND($W45&gt;$P$83, SUM($AQ$17:AQ44)&gt;0,SUM($AZ$17:AZ44)&lt;$P$79),$P$82,0)</f>
        <v>0</v>
      </c>
      <c r="BA45" s="107">
        <f>IF(SUM($AQ$18:$AQ44)&gt;0,($P$79-SUM($AZ$18:$AZ44))*$F$83,0)</f>
        <v>0</v>
      </c>
      <c r="BB45" s="261">
        <f t="shared" si="53"/>
        <v>0</v>
      </c>
      <c r="BC45" s="263">
        <f t="shared" si="54"/>
        <v>0</v>
      </c>
      <c r="BD45" s="264">
        <f t="shared" si="55"/>
        <v>0</v>
      </c>
      <c r="BE45" s="280"/>
      <c r="BF45" s="180">
        <f t="shared" si="56"/>
        <v>0.35352404621262151</v>
      </c>
      <c r="BH45" s="266">
        <f t="shared" si="57"/>
        <v>0</v>
      </c>
      <c r="BI45" s="266">
        <f t="shared" si="58"/>
        <v>0</v>
      </c>
      <c r="BJ45" s="263">
        <f t="shared" si="59"/>
        <v>0</v>
      </c>
      <c r="BK45" s="263">
        <f t="shared" si="60"/>
        <v>0</v>
      </c>
      <c r="BL45" s="263">
        <f t="shared" si="61"/>
        <v>0</v>
      </c>
      <c r="BM45" s="260">
        <f t="shared" si="18"/>
        <v>0</v>
      </c>
      <c r="BN45" s="264">
        <f t="shared" si="62"/>
        <v>0</v>
      </c>
      <c r="BO45" s="263">
        <f t="shared" si="63"/>
        <v>0</v>
      </c>
      <c r="BP45" s="263">
        <f t="shared" si="21"/>
        <v>0</v>
      </c>
      <c r="BQ45" s="263">
        <f t="shared" si="22"/>
        <v>0</v>
      </c>
      <c r="BR45" s="263">
        <f t="shared" si="23"/>
        <v>0</v>
      </c>
      <c r="BS45" s="263">
        <f t="shared" si="24"/>
        <v>0</v>
      </c>
      <c r="BT45" s="107">
        <f t="shared" si="42"/>
        <v>0</v>
      </c>
      <c r="BU45" s="264">
        <f t="shared" si="64"/>
        <v>0</v>
      </c>
      <c r="BV45" s="264">
        <f t="shared" si="65"/>
        <v>0</v>
      </c>
      <c r="BW45" s="265"/>
      <c r="BX45" s="361">
        <f t="shared" si="26"/>
        <v>0</v>
      </c>
      <c r="BY45" s="499">
        <f t="shared" si="66"/>
        <v>0</v>
      </c>
    </row>
    <row r="46" spans="2:77" ht="15.75" customHeight="1" x14ac:dyDescent="0.45">
      <c r="D46" s="191" t="s">
        <v>21</v>
      </c>
      <c r="F46" s="432"/>
      <c r="H46" s="120" t="s">
        <v>169</v>
      </c>
      <c r="J46" s="35"/>
      <c r="K46" s="21" t="s">
        <v>170</v>
      </c>
      <c r="N46" s="191" t="s">
        <v>21</v>
      </c>
      <c r="O46" s="433"/>
      <c r="P46" s="433"/>
      <c r="V46" s="294">
        <f t="shared" si="46"/>
        <v>56704</v>
      </c>
      <c r="W46" s="366">
        <f t="shared" si="29"/>
        <v>29</v>
      </c>
      <c r="X46" s="366" t="str">
        <f t="shared" si="30"/>
        <v>-</v>
      </c>
      <c r="Y46" s="106">
        <f t="shared" si="0"/>
        <v>0</v>
      </c>
      <c r="Z46" s="107">
        <f t="shared" si="1"/>
        <v>0</v>
      </c>
      <c r="AA46" s="107">
        <f t="shared" si="2"/>
        <v>0</v>
      </c>
      <c r="AB46" s="107">
        <f t="shared" si="3"/>
        <v>0</v>
      </c>
      <c r="AC46" s="108">
        <f t="shared" si="47"/>
        <v>0</v>
      </c>
      <c r="AD46" s="106">
        <f t="shared" si="48"/>
        <v>0</v>
      </c>
      <c r="AE46" s="107">
        <f t="shared" si="5"/>
        <v>0</v>
      </c>
      <c r="AF46" s="107">
        <f t="shared" si="32"/>
        <v>0</v>
      </c>
      <c r="AG46" s="368">
        <f>IF(AND($W46&gt;$O$83, SUM($AA$17:AA45)&gt;0,SUM($AG$17:AG45)&lt;$O$79),$O$82,0)</f>
        <v>0</v>
      </c>
      <c r="AH46" s="107">
        <f>IF(SUM($AA$18:$AA45)&gt;0,($O$79-SUM($AG$18:$AG45))*$F$83,0)</f>
        <v>0</v>
      </c>
      <c r="AI46" s="108">
        <f t="shared" si="49"/>
        <v>0</v>
      </c>
      <c r="AJ46" s="115">
        <f t="shared" si="34"/>
        <v>0</v>
      </c>
      <c r="AK46" s="115">
        <f t="shared" si="44"/>
        <v>0</v>
      </c>
      <c r="AL46" s="277"/>
      <c r="AM46" s="264">
        <f t="shared" si="50"/>
        <v>0</v>
      </c>
      <c r="AN46" s="278"/>
      <c r="AO46" s="266">
        <f t="shared" si="8"/>
        <v>0</v>
      </c>
      <c r="AP46" s="263">
        <f t="shared" si="9"/>
        <v>0</v>
      </c>
      <c r="AQ46" s="263">
        <f t="shared" si="10"/>
        <v>0</v>
      </c>
      <c r="AR46" s="260">
        <f t="shared" si="11"/>
        <v>0</v>
      </c>
      <c r="AS46" s="261">
        <f t="shared" si="51"/>
        <v>0</v>
      </c>
      <c r="AT46" s="260">
        <f t="shared" si="52"/>
        <v>0</v>
      </c>
      <c r="AU46" s="260">
        <f t="shared" si="13"/>
        <v>0</v>
      </c>
      <c r="AV46" s="260">
        <f t="shared" si="14"/>
        <v>0</v>
      </c>
      <c r="AW46" s="260">
        <f t="shared" si="15"/>
        <v>0</v>
      </c>
      <c r="AX46" s="368">
        <f t="shared" si="36"/>
        <v>0</v>
      </c>
      <c r="AY46" s="260">
        <f t="shared" si="16"/>
        <v>0</v>
      </c>
      <c r="AZ46" s="368">
        <f>IF(AND($W46&gt;$P$83, SUM($AQ$17:AQ45)&gt;0,SUM($AZ$17:AZ45)&lt;$P$79),$P$82,0)</f>
        <v>0</v>
      </c>
      <c r="BA46" s="107">
        <f>IF(SUM($AQ$18:$AQ45)&gt;0,($P$79-SUM($AZ$18:$AZ45))*$F$83,0)</f>
        <v>0</v>
      </c>
      <c r="BB46" s="261">
        <f t="shared" si="53"/>
        <v>0</v>
      </c>
      <c r="BC46" s="263">
        <f t="shared" si="54"/>
        <v>0</v>
      </c>
      <c r="BD46" s="264">
        <f t="shared" si="55"/>
        <v>0</v>
      </c>
      <c r="BE46" s="280"/>
      <c r="BF46" s="180">
        <f t="shared" si="56"/>
        <v>0.3406364083395047</v>
      </c>
      <c r="BH46" s="266">
        <f t="shared" si="57"/>
        <v>0</v>
      </c>
      <c r="BI46" s="266">
        <f t="shared" si="58"/>
        <v>0</v>
      </c>
      <c r="BJ46" s="263">
        <f t="shared" si="59"/>
        <v>0</v>
      </c>
      <c r="BK46" s="263">
        <f t="shared" si="60"/>
        <v>0</v>
      </c>
      <c r="BL46" s="263">
        <f t="shared" si="61"/>
        <v>0</v>
      </c>
      <c r="BM46" s="260">
        <f t="shared" si="18"/>
        <v>0</v>
      </c>
      <c r="BN46" s="264">
        <f t="shared" si="62"/>
        <v>0</v>
      </c>
      <c r="BO46" s="263">
        <f t="shared" si="63"/>
        <v>0</v>
      </c>
      <c r="BP46" s="263">
        <f t="shared" si="21"/>
        <v>0</v>
      </c>
      <c r="BQ46" s="263">
        <f t="shared" si="22"/>
        <v>0</v>
      </c>
      <c r="BR46" s="263">
        <f t="shared" si="23"/>
        <v>0</v>
      </c>
      <c r="BS46" s="263">
        <f t="shared" si="24"/>
        <v>0</v>
      </c>
      <c r="BT46" s="107">
        <f t="shared" si="42"/>
        <v>0</v>
      </c>
      <c r="BU46" s="264">
        <f t="shared" si="64"/>
        <v>0</v>
      </c>
      <c r="BV46" s="264">
        <f t="shared" si="65"/>
        <v>0</v>
      </c>
      <c r="BW46" s="265"/>
      <c r="BX46" s="361">
        <f t="shared" si="26"/>
        <v>0</v>
      </c>
      <c r="BY46" s="499">
        <f t="shared" si="66"/>
        <v>0</v>
      </c>
    </row>
    <row r="47" spans="2:77" ht="15.75" customHeight="1" x14ac:dyDescent="0.45">
      <c r="C47" s="21" t="s">
        <v>171</v>
      </c>
      <c r="D47" s="191" t="s">
        <v>21</v>
      </c>
      <c r="F47" s="433"/>
      <c r="H47" s="120" t="s">
        <v>169</v>
      </c>
      <c r="K47" s="21" t="s">
        <v>172</v>
      </c>
      <c r="N47" s="191" t="s">
        <v>21</v>
      </c>
      <c r="O47" s="433"/>
      <c r="P47" s="433"/>
      <c r="V47" s="294">
        <f t="shared" si="46"/>
        <v>57070</v>
      </c>
      <c r="W47" s="366">
        <f t="shared" si="29"/>
        <v>30</v>
      </c>
      <c r="X47" s="366" t="str">
        <f t="shared" si="30"/>
        <v>-</v>
      </c>
      <c r="Y47" s="106">
        <f t="shared" si="0"/>
        <v>0</v>
      </c>
      <c r="Z47" s="107">
        <f t="shared" si="1"/>
        <v>0</v>
      </c>
      <c r="AA47" s="107">
        <f t="shared" si="2"/>
        <v>0</v>
      </c>
      <c r="AB47" s="107">
        <f t="shared" si="3"/>
        <v>0</v>
      </c>
      <c r="AC47" s="108">
        <f t="shared" si="47"/>
        <v>0</v>
      </c>
      <c r="AD47" s="106">
        <f t="shared" si="48"/>
        <v>0</v>
      </c>
      <c r="AE47" s="107">
        <f t="shared" si="5"/>
        <v>0</v>
      </c>
      <c r="AF47" s="107">
        <f t="shared" si="32"/>
        <v>0</v>
      </c>
      <c r="AG47" s="368">
        <f>IF(AND($W47&gt;$O$83, SUM($AA$17:AA46)&gt;0,SUM($AG$17:AG46)&lt;$O$79),$O$82,0)</f>
        <v>0</v>
      </c>
      <c r="AH47" s="107">
        <f>IF(SUM($AA$18:$AA46)&gt;0,($O$79-SUM($AG$18:$AG46))*$F$83,0)</f>
        <v>0</v>
      </c>
      <c r="AI47" s="108">
        <f t="shared" si="49"/>
        <v>0</v>
      </c>
      <c r="AJ47" s="115">
        <f t="shared" si="34"/>
        <v>0</v>
      </c>
      <c r="AK47" s="115">
        <f t="shared" si="44"/>
        <v>0</v>
      </c>
      <c r="AL47" s="277"/>
      <c r="AM47" s="264">
        <f t="shared" si="50"/>
        <v>0</v>
      </c>
      <c r="AN47" s="278"/>
      <c r="AO47" s="266">
        <f t="shared" si="8"/>
        <v>0</v>
      </c>
      <c r="AP47" s="263">
        <f t="shared" si="9"/>
        <v>0</v>
      </c>
      <c r="AQ47" s="263">
        <f t="shared" si="10"/>
        <v>0</v>
      </c>
      <c r="AR47" s="260">
        <f t="shared" si="11"/>
        <v>0</v>
      </c>
      <c r="AS47" s="261">
        <f t="shared" si="51"/>
        <v>0</v>
      </c>
      <c r="AT47" s="260">
        <f t="shared" si="52"/>
        <v>0</v>
      </c>
      <c r="AU47" s="260">
        <f t="shared" si="13"/>
        <v>0</v>
      </c>
      <c r="AV47" s="260">
        <f t="shared" si="14"/>
        <v>0</v>
      </c>
      <c r="AW47" s="260">
        <f t="shared" si="15"/>
        <v>0</v>
      </c>
      <c r="AX47" s="368">
        <f t="shared" si="36"/>
        <v>0</v>
      </c>
      <c r="AY47" s="260">
        <f t="shared" si="16"/>
        <v>0</v>
      </c>
      <c r="AZ47" s="368">
        <f>IF(AND($W47&gt;$P$83, SUM($AQ$17:AQ46)&gt;0,SUM($AZ$17:AZ46)&lt;$P$79),$P$82,0)</f>
        <v>0</v>
      </c>
      <c r="BA47" s="107">
        <f>IF(SUM($AQ$18:$AQ46)&gt;0,($P$79-SUM($AZ$18:$AZ46))*$F$83,0)</f>
        <v>0</v>
      </c>
      <c r="BB47" s="261">
        <f t="shared" si="53"/>
        <v>0</v>
      </c>
      <c r="BC47" s="263">
        <f t="shared" si="54"/>
        <v>0</v>
      </c>
      <c r="BD47" s="264">
        <f t="shared" si="55"/>
        <v>0</v>
      </c>
      <c r="BE47" s="280"/>
      <c r="BF47" s="181">
        <f t="shared" si="56"/>
        <v>0.32821858634377438</v>
      </c>
      <c r="BH47" s="266">
        <f t="shared" si="57"/>
        <v>0</v>
      </c>
      <c r="BI47" s="266">
        <f t="shared" si="58"/>
        <v>0</v>
      </c>
      <c r="BJ47" s="263">
        <f t="shared" si="59"/>
        <v>0</v>
      </c>
      <c r="BK47" s="263">
        <f t="shared" si="60"/>
        <v>0</v>
      </c>
      <c r="BL47" s="263">
        <f t="shared" si="61"/>
        <v>0</v>
      </c>
      <c r="BM47" s="260">
        <f t="shared" si="18"/>
        <v>0</v>
      </c>
      <c r="BN47" s="261">
        <f t="shared" si="62"/>
        <v>0</v>
      </c>
      <c r="BO47" s="263">
        <f t="shared" si="63"/>
        <v>0</v>
      </c>
      <c r="BP47" s="263">
        <f t="shared" si="21"/>
        <v>0</v>
      </c>
      <c r="BQ47" s="263">
        <f t="shared" si="22"/>
        <v>0</v>
      </c>
      <c r="BR47" s="263">
        <f t="shared" si="23"/>
        <v>0</v>
      </c>
      <c r="BS47" s="263">
        <f t="shared" si="24"/>
        <v>0</v>
      </c>
      <c r="BT47" s="107">
        <f t="shared" si="42"/>
        <v>0</v>
      </c>
      <c r="BU47" s="264">
        <f t="shared" si="64"/>
        <v>0</v>
      </c>
      <c r="BV47" s="261">
        <f t="shared" si="65"/>
        <v>0</v>
      </c>
      <c r="BW47" s="265"/>
      <c r="BX47" s="361">
        <f t="shared" si="26"/>
        <v>0</v>
      </c>
      <c r="BY47" s="499">
        <f t="shared" si="66"/>
        <v>0</v>
      </c>
    </row>
    <row r="48" spans="2:77" ht="15.75" customHeight="1" thickBot="1" x14ac:dyDescent="0.5">
      <c r="C48" s="21" t="s">
        <v>173</v>
      </c>
      <c r="D48" s="191" t="s">
        <v>21</v>
      </c>
      <c r="F48" s="433"/>
      <c r="H48" s="120" t="s">
        <v>169</v>
      </c>
      <c r="K48" s="21" t="s">
        <v>174</v>
      </c>
      <c r="N48" s="191" t="s">
        <v>21</v>
      </c>
      <c r="O48" s="433"/>
      <c r="P48" s="433"/>
      <c r="V48" s="289"/>
      <c r="Y48" s="127"/>
      <c r="Z48" s="127"/>
      <c r="AA48" s="95"/>
      <c r="AB48" s="95"/>
      <c r="AC48" s="95"/>
      <c r="AD48" s="95"/>
      <c r="AE48" s="95"/>
      <c r="AF48" s="95"/>
      <c r="AG48" s="107"/>
      <c r="AH48" s="113"/>
      <c r="AI48" s="95"/>
      <c r="AJ48" s="95"/>
      <c r="AK48" s="95"/>
      <c r="AL48" s="95"/>
      <c r="AM48" s="95"/>
      <c r="AN48" s="98"/>
      <c r="AO48" s="95"/>
      <c r="AP48" s="95"/>
      <c r="AQ48" s="95"/>
      <c r="AR48" s="95"/>
      <c r="AS48" s="95"/>
      <c r="AT48" s="95"/>
      <c r="AU48" s="95"/>
      <c r="AV48" s="95"/>
      <c r="AW48" s="95"/>
      <c r="AX48" s="95"/>
      <c r="AY48" s="95"/>
      <c r="AZ48" s="95"/>
      <c r="BA48" s="95"/>
      <c r="BB48" s="95"/>
      <c r="BC48" s="95"/>
      <c r="BD48" s="95"/>
      <c r="BH48" s="95"/>
      <c r="BI48" s="95"/>
      <c r="BJ48" s="95"/>
      <c r="BK48" s="95"/>
      <c r="BL48" s="95"/>
      <c r="BM48" s="95"/>
      <c r="BN48" s="95"/>
      <c r="BO48" s="95"/>
      <c r="BP48" s="95"/>
      <c r="BQ48" s="95"/>
      <c r="BR48" s="95"/>
      <c r="BS48" s="95"/>
      <c r="BT48" s="95"/>
      <c r="BU48" s="95"/>
      <c r="BV48" s="95"/>
      <c r="BW48" s="98"/>
    </row>
    <row r="49" spans="2:77" ht="15.75" customHeight="1" thickTop="1" x14ac:dyDescent="0.45">
      <c r="F49" s="22"/>
      <c r="K49" s="21" t="s">
        <v>175</v>
      </c>
      <c r="N49" s="191" t="s">
        <v>21</v>
      </c>
      <c r="O49" s="433"/>
      <c r="P49" s="433"/>
      <c r="V49" s="289"/>
      <c r="X49" s="128" t="s">
        <v>68</v>
      </c>
      <c r="Y49" s="129">
        <f t="shared" ref="Y49:AK49" si="67">SUM(Y18:Y47)</f>
        <v>1140</v>
      </c>
      <c r="Z49" s="129">
        <f t="shared" si="67"/>
        <v>0</v>
      </c>
      <c r="AA49" s="129">
        <f t="shared" si="67"/>
        <v>1282.5</v>
      </c>
      <c r="AB49" s="129">
        <f t="shared" si="67"/>
        <v>0</v>
      </c>
      <c r="AC49" s="129">
        <f t="shared" si="67"/>
        <v>2422.5</v>
      </c>
      <c r="AD49" s="129">
        <f t="shared" si="67"/>
        <v>2850</v>
      </c>
      <c r="AE49" s="129">
        <f t="shared" si="67"/>
        <v>0</v>
      </c>
      <c r="AF49" s="129">
        <f t="shared" si="67"/>
        <v>0</v>
      </c>
      <c r="AG49" s="129">
        <f t="shared" si="67"/>
        <v>1282.5</v>
      </c>
      <c r="AH49" s="129">
        <f t="shared" si="67"/>
        <v>337.61812499999996</v>
      </c>
      <c r="AI49" s="129">
        <f t="shared" si="67"/>
        <v>4470.1181249999991</v>
      </c>
      <c r="AJ49" s="130">
        <f t="shared" si="67"/>
        <v>-2047.6181250000004</v>
      </c>
      <c r="AK49" s="130">
        <f t="shared" si="67"/>
        <v>0</v>
      </c>
      <c r="AL49" s="376">
        <f>SUM(AJ49,AL17)</f>
        <v>-2047.6181250000004</v>
      </c>
      <c r="AM49" s="383">
        <f>SUM(AM17:AM48)</f>
        <v>-1318.2904297674884</v>
      </c>
      <c r="AN49" s="98"/>
      <c r="AO49" s="129">
        <f t="shared" ref="AO49:BD49" si="68">SUM(AO18:AO47)</f>
        <v>1140</v>
      </c>
      <c r="AP49" s="129">
        <f t="shared" si="68"/>
        <v>0</v>
      </c>
      <c r="AQ49" s="129">
        <f t="shared" si="68"/>
        <v>1282.5</v>
      </c>
      <c r="AR49" s="129">
        <f t="shared" si="68"/>
        <v>0</v>
      </c>
      <c r="AS49" s="129">
        <f t="shared" si="68"/>
        <v>2422.5</v>
      </c>
      <c r="AT49" s="129">
        <f t="shared" si="68"/>
        <v>2850</v>
      </c>
      <c r="AU49" s="129">
        <f t="shared" si="68"/>
        <v>0</v>
      </c>
      <c r="AV49" s="129">
        <f t="shared" si="68"/>
        <v>0</v>
      </c>
      <c r="AW49" s="129">
        <f t="shared" si="68"/>
        <v>0</v>
      </c>
      <c r="AX49" s="129">
        <f t="shared" si="68"/>
        <v>30</v>
      </c>
      <c r="AY49" s="129">
        <f t="shared" si="68"/>
        <v>0</v>
      </c>
      <c r="AZ49" s="129">
        <f t="shared" si="68"/>
        <v>1282.5</v>
      </c>
      <c r="BA49" s="129">
        <f t="shared" si="68"/>
        <v>337.61812499999996</v>
      </c>
      <c r="BB49" s="129">
        <f t="shared" si="68"/>
        <v>4500.1181249999991</v>
      </c>
      <c r="BC49" s="130">
        <f t="shared" si="68"/>
        <v>-2077.618125</v>
      </c>
      <c r="BD49" s="130">
        <f t="shared" si="68"/>
        <v>-1346.1558170991998</v>
      </c>
      <c r="BH49" s="131">
        <f t="shared" ref="BH49:BV49" si="69">SUM(BH18:BH47)</f>
        <v>2850</v>
      </c>
      <c r="BI49" s="131">
        <f t="shared" si="69"/>
        <v>0</v>
      </c>
      <c r="BJ49" s="131">
        <f t="shared" si="69"/>
        <v>0</v>
      </c>
      <c r="BK49" s="131">
        <f t="shared" si="69"/>
        <v>0</v>
      </c>
      <c r="BL49" s="131">
        <f t="shared" si="69"/>
        <v>0</v>
      </c>
      <c r="BM49" s="131">
        <f t="shared" si="69"/>
        <v>0</v>
      </c>
      <c r="BN49" s="131">
        <f t="shared" si="69"/>
        <v>2850</v>
      </c>
      <c r="BO49" s="131">
        <f t="shared" si="69"/>
        <v>2850</v>
      </c>
      <c r="BP49" s="131">
        <f t="shared" si="69"/>
        <v>0</v>
      </c>
      <c r="BQ49" s="131">
        <f t="shared" si="69"/>
        <v>0</v>
      </c>
      <c r="BR49" s="131">
        <f t="shared" si="69"/>
        <v>0</v>
      </c>
      <c r="BS49" s="131">
        <f t="shared" si="69"/>
        <v>0</v>
      </c>
      <c r="BT49" s="131">
        <f t="shared" si="69"/>
        <v>0</v>
      </c>
      <c r="BU49" s="131">
        <f t="shared" si="69"/>
        <v>2850</v>
      </c>
      <c r="BV49" s="131">
        <f t="shared" si="69"/>
        <v>0</v>
      </c>
      <c r="BW49" s="98"/>
    </row>
    <row r="50" spans="2:77" ht="15.75" customHeight="1" x14ac:dyDescent="0.55000000000000004">
      <c r="F50" s="22"/>
      <c r="O50" s="22"/>
      <c r="P50" s="22"/>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Y50" s="21"/>
    </row>
    <row r="51" spans="2:77" ht="15.75" customHeight="1" x14ac:dyDescent="0.55000000000000004">
      <c r="B51" s="223" t="s">
        <v>176</v>
      </c>
      <c r="E51" s="22" t="s">
        <v>55</v>
      </c>
      <c r="F51" s="22" t="s">
        <v>98</v>
      </c>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Y51" s="21"/>
    </row>
    <row r="52" spans="2:77" ht="15.75" customHeight="1" x14ac:dyDescent="0.45">
      <c r="B52" s="223"/>
      <c r="C52" s="21" t="s">
        <v>177</v>
      </c>
      <c r="D52" s="191" t="s">
        <v>21</v>
      </c>
      <c r="E52" s="150"/>
      <c r="F52" s="150">
        <v>10</v>
      </c>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Y52" s="21"/>
    </row>
    <row r="53" spans="2:77" ht="15.75" customHeight="1" x14ac:dyDescent="0.45">
      <c r="C53" s="21" t="s">
        <v>178</v>
      </c>
      <c r="D53" s="191" t="s">
        <v>21</v>
      </c>
      <c r="E53" s="412">
        <v>10</v>
      </c>
      <c r="F53" s="412">
        <v>6</v>
      </c>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Y53" s="21"/>
    </row>
    <row r="54" spans="2:77" ht="15.75" customHeight="1" x14ac:dyDescent="0.55000000000000004">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Y54" s="21"/>
    </row>
    <row r="55" spans="2:77" ht="15.75" customHeight="1" x14ac:dyDescent="0.45">
      <c r="B55" s="223" t="s">
        <v>179</v>
      </c>
      <c r="F55" s="441">
        <v>1</v>
      </c>
      <c r="H55" s="120" t="s">
        <v>180</v>
      </c>
      <c r="J55" s="223" t="s">
        <v>179</v>
      </c>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Y55" s="21"/>
    </row>
    <row r="56" spans="2:77" ht="15.75" customHeight="1" x14ac:dyDescent="0.45">
      <c r="M56" s="21" t="s">
        <v>181</v>
      </c>
      <c r="N56" s="191" t="s">
        <v>21</v>
      </c>
      <c r="O56" s="169"/>
      <c r="P56" s="299">
        <f>F136</f>
        <v>0</v>
      </c>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Y56" s="21"/>
    </row>
    <row r="57" spans="2:77" ht="15.75" customHeight="1" x14ac:dyDescent="0.45">
      <c r="M57" s="21" t="s">
        <v>182</v>
      </c>
      <c r="N57" s="191" t="s">
        <v>21</v>
      </c>
      <c r="O57" s="170"/>
      <c r="P57" s="300">
        <f>F137*$F$18</f>
        <v>0</v>
      </c>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Y57" s="21"/>
    </row>
    <row r="58" spans="2:77" ht="15.75" customHeight="1" thickBot="1" x14ac:dyDescent="0.5">
      <c r="I58" s="295"/>
      <c r="M58" s="21" t="s">
        <v>183</v>
      </c>
      <c r="N58" s="191" t="s">
        <v>21</v>
      </c>
      <c r="O58" s="170"/>
      <c r="P58" s="300">
        <f>SUM(P101,P103)+P105*F18</f>
        <v>0</v>
      </c>
      <c r="Q58" s="21" t="s">
        <v>184</v>
      </c>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row>
    <row r="59" spans="2:77" ht="15.75" customHeight="1" thickBot="1" x14ac:dyDescent="0.5">
      <c r="K59" s="133" t="s">
        <v>185</v>
      </c>
      <c r="L59" s="134"/>
      <c r="M59" s="134"/>
      <c r="N59" s="194" t="s">
        <v>21</v>
      </c>
      <c r="O59" s="171"/>
      <c r="P59" s="426">
        <f>SUM(P56:P57)*$F$55</f>
        <v>0</v>
      </c>
      <c r="Q59" s="21" t="s">
        <v>186</v>
      </c>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row>
    <row r="60" spans="2:77" ht="15.75" customHeight="1" x14ac:dyDescent="0.45">
      <c r="M60" s="21" t="s">
        <v>187</v>
      </c>
      <c r="N60" s="191" t="s">
        <v>21</v>
      </c>
      <c r="O60" s="172"/>
      <c r="P60" s="427">
        <f>F137</f>
        <v>0</v>
      </c>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row>
    <row r="61" spans="2:77" ht="15.75" customHeight="1" thickBot="1" x14ac:dyDescent="0.5">
      <c r="M61" s="21" t="s">
        <v>188</v>
      </c>
      <c r="N61" s="191" t="s">
        <v>21</v>
      </c>
      <c r="O61" s="172"/>
      <c r="P61" s="428">
        <f>P107</f>
        <v>0</v>
      </c>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row>
    <row r="62" spans="2:77" ht="15.75" customHeight="1" thickBot="1" x14ac:dyDescent="0.5">
      <c r="K62" s="133" t="s">
        <v>189</v>
      </c>
      <c r="L62" s="134"/>
      <c r="M62" s="134"/>
      <c r="N62" s="194" t="s">
        <v>21</v>
      </c>
      <c r="O62" s="171"/>
      <c r="P62" s="426">
        <f>SUM(P60:P61)*$F$55</f>
        <v>0</v>
      </c>
      <c r="Q62" s="21" t="s">
        <v>190</v>
      </c>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row>
    <row r="63" spans="2:77" ht="15.75" customHeight="1" x14ac:dyDescent="0.55000000000000004">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row>
    <row r="64" spans="2:77" ht="15.75" customHeight="1" x14ac:dyDescent="0.55000000000000004">
      <c r="B64" s="223" t="s">
        <v>191</v>
      </c>
      <c r="J64" s="223" t="s">
        <v>192</v>
      </c>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row>
    <row r="65" spans="1:75" ht="15.75" customHeight="1" x14ac:dyDescent="0.45">
      <c r="C65" s="21" t="s">
        <v>193</v>
      </c>
      <c r="D65" s="191" t="s">
        <v>25</v>
      </c>
      <c r="F65" s="315">
        <v>0.95</v>
      </c>
      <c r="J65" s="223"/>
      <c r="K65" s="21" t="s">
        <v>59</v>
      </c>
      <c r="N65" s="191" t="s">
        <v>21</v>
      </c>
      <c r="O65" s="91">
        <f>O35/$F$65</f>
        <v>3000</v>
      </c>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row>
    <row r="66" spans="1:75" ht="15.75" customHeight="1" x14ac:dyDescent="0.45">
      <c r="B66" s="119"/>
      <c r="C66" s="21" t="s">
        <v>194</v>
      </c>
      <c r="D66" s="191" t="s">
        <v>25</v>
      </c>
      <c r="F66" s="162">
        <f>事業費用概算!H31</f>
        <v>0.05</v>
      </c>
      <c r="J66" s="223"/>
      <c r="K66" s="21" t="s">
        <v>195</v>
      </c>
      <c r="N66" s="191" t="s">
        <v>21</v>
      </c>
      <c r="O66" s="321">
        <f>O46/$F$65*$F$19</f>
        <v>0</v>
      </c>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row>
    <row r="67" spans="1:75" ht="15.75" customHeight="1" x14ac:dyDescent="0.45">
      <c r="B67" s="119"/>
      <c r="C67" s="21" t="s">
        <v>196</v>
      </c>
      <c r="D67" s="191" t="s">
        <v>25</v>
      </c>
      <c r="F67" s="418"/>
      <c r="H67" s="120" t="s">
        <v>169</v>
      </c>
      <c r="J67" s="223"/>
      <c r="K67" s="241" t="s">
        <v>197</v>
      </c>
      <c r="L67" s="241"/>
      <c r="M67" s="241"/>
      <c r="N67" s="241" t="s">
        <v>21</v>
      </c>
      <c r="O67" s="322">
        <f>SUM(O65:O66)</f>
        <v>3000</v>
      </c>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row>
    <row r="68" spans="1:75" ht="15.75" customHeight="1" x14ac:dyDescent="0.55000000000000004">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row>
    <row r="69" spans="1:75" ht="15.75" customHeight="1" thickBot="1" x14ac:dyDescent="0.6">
      <c r="A69" s="210" t="s">
        <v>31</v>
      </c>
      <c r="B69" s="225"/>
      <c r="C69" s="202"/>
      <c r="D69" s="203"/>
      <c r="E69" s="202"/>
      <c r="F69" s="202"/>
      <c r="G69" s="202"/>
      <c r="H69" s="202"/>
      <c r="I69" s="217" t="s">
        <v>31</v>
      </c>
      <c r="J69" s="225"/>
      <c r="K69" s="338"/>
      <c r="L69" s="202"/>
      <c r="M69" s="202"/>
      <c r="N69" s="203"/>
      <c r="O69" s="202"/>
      <c r="P69" s="202"/>
      <c r="Q69" s="202"/>
      <c r="R69" s="202"/>
      <c r="S69" s="202"/>
      <c r="T69" s="203"/>
      <c r="U69" s="202"/>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row>
    <row r="70" spans="1:75" ht="15.75" customHeight="1" x14ac:dyDescent="0.55000000000000004">
      <c r="A70" s="35"/>
      <c r="AL70" s="21"/>
    </row>
    <row r="71" spans="1:75" ht="15.75" customHeight="1" x14ac:dyDescent="0.55000000000000004">
      <c r="B71" s="228" t="s">
        <v>198</v>
      </c>
      <c r="C71" s="422"/>
      <c r="AL71" s="21"/>
    </row>
    <row r="72" spans="1:75" ht="15.75" customHeight="1" x14ac:dyDescent="0.45">
      <c r="C72" s="21" t="s">
        <v>172</v>
      </c>
      <c r="D72" s="191" t="s">
        <v>21</v>
      </c>
      <c r="F72" s="327">
        <v>0</v>
      </c>
      <c r="H72" s="120" t="s">
        <v>169</v>
      </c>
    </row>
    <row r="73" spans="1:75" ht="15.75" customHeight="1" x14ac:dyDescent="0.55000000000000004"/>
    <row r="74" spans="1:75" ht="15.75" customHeight="1" thickBot="1" x14ac:dyDescent="0.6">
      <c r="A74" s="210" t="s">
        <v>35</v>
      </c>
      <c r="B74" s="225"/>
      <c r="C74" s="202"/>
      <c r="D74" s="203"/>
      <c r="E74" s="202"/>
      <c r="F74" s="202"/>
      <c r="G74" s="202"/>
      <c r="H74" s="202"/>
      <c r="I74" s="217" t="s">
        <v>35</v>
      </c>
      <c r="J74" s="225"/>
      <c r="K74" s="338"/>
      <c r="L74" s="202"/>
      <c r="M74" s="202"/>
      <c r="N74" s="203"/>
      <c r="O74" s="202"/>
      <c r="P74" s="202"/>
      <c r="Q74" s="202"/>
      <c r="R74" s="202"/>
      <c r="S74" s="202"/>
      <c r="T74" s="203"/>
      <c r="U74" s="202"/>
      <c r="V74" s="289"/>
      <c r="Y74" s="23"/>
      <c r="Z74" s="23"/>
      <c r="AA74" s="24"/>
      <c r="AB74" s="24"/>
      <c r="AC74" s="24"/>
      <c r="AD74" s="24"/>
      <c r="AE74" s="24"/>
      <c r="AF74" s="24"/>
      <c r="AG74" s="24"/>
      <c r="AH74" s="24"/>
      <c r="AI74" s="24"/>
      <c r="AJ74" s="24"/>
      <c r="AK74" s="25"/>
      <c r="AL74" s="25"/>
      <c r="AM74" s="25"/>
      <c r="AO74" s="25"/>
      <c r="AP74" s="24"/>
      <c r="AQ74" s="24"/>
      <c r="AR74" s="24"/>
      <c r="AS74" s="24"/>
      <c r="AT74" s="24"/>
      <c r="AU74" s="24"/>
      <c r="AV74" s="24"/>
      <c r="AW74" s="24"/>
      <c r="AX74" s="24"/>
      <c r="AY74" s="24"/>
      <c r="AZ74" s="24"/>
      <c r="BA74" s="24"/>
      <c r="BB74" s="24"/>
      <c r="BC74" s="24"/>
      <c r="BD74" s="24"/>
      <c r="BH74" s="24"/>
      <c r="BI74" s="24"/>
      <c r="BJ74" s="24"/>
      <c r="BK74" s="24"/>
      <c r="BL74" s="24"/>
      <c r="BM74" s="24"/>
      <c r="BN74" s="24"/>
      <c r="BO74" s="24"/>
      <c r="BP74" s="24"/>
      <c r="BQ74" s="24"/>
      <c r="BR74" s="24"/>
      <c r="BS74" s="24"/>
      <c r="BT74" s="24"/>
      <c r="BU74" s="24"/>
      <c r="BV74" s="24"/>
    </row>
    <row r="75" spans="1:75" ht="15.75" customHeight="1" x14ac:dyDescent="0.55000000000000004">
      <c r="A75" s="35"/>
      <c r="J75" s="35"/>
      <c r="V75" s="22"/>
    </row>
    <row r="76" spans="1:75" ht="15.75" customHeight="1" x14ac:dyDescent="0.55000000000000004">
      <c r="A76" s="35"/>
      <c r="B76" s="223" t="s">
        <v>199</v>
      </c>
      <c r="C76" s="422"/>
      <c r="D76" s="410"/>
      <c r="E76" s="25" t="s">
        <v>18</v>
      </c>
      <c r="F76" s="25" t="s">
        <v>200</v>
      </c>
      <c r="I76" s="214"/>
      <c r="J76" s="223" t="s">
        <v>199</v>
      </c>
      <c r="O76" s="21" t="s">
        <v>55</v>
      </c>
      <c r="P76" s="21" t="s">
        <v>98</v>
      </c>
      <c r="T76" s="191"/>
      <c r="V76" s="295"/>
      <c r="Y76" s="23"/>
      <c r="Z76" s="23"/>
      <c r="AA76" s="24"/>
      <c r="AB76" s="24"/>
      <c r="AC76" s="24"/>
      <c r="AD76" s="24"/>
      <c r="AE76" s="24"/>
      <c r="AF76" s="24"/>
      <c r="AG76" s="24"/>
      <c r="AH76" s="24"/>
      <c r="AI76" s="24"/>
      <c r="AJ76" s="24"/>
      <c r="AK76" s="25"/>
      <c r="AL76" s="25"/>
      <c r="AM76" s="25"/>
      <c r="AO76" s="25"/>
      <c r="AP76" s="24"/>
      <c r="AQ76" s="24"/>
      <c r="AR76" s="24"/>
      <c r="AS76" s="24"/>
      <c r="AT76" s="24"/>
      <c r="AU76" s="24"/>
      <c r="AV76" s="24"/>
      <c r="AW76" s="24"/>
      <c r="AX76" s="24"/>
      <c r="AY76" s="24"/>
      <c r="AZ76" s="24"/>
      <c r="BA76" s="24"/>
      <c r="BB76" s="24"/>
      <c r="BC76" s="24"/>
      <c r="BD76" s="24"/>
      <c r="BH76" s="24"/>
      <c r="BI76" s="24"/>
      <c r="BJ76" s="24"/>
      <c r="BK76" s="24"/>
      <c r="BL76" s="24"/>
      <c r="BM76" s="24"/>
      <c r="BN76" s="24"/>
      <c r="BO76" s="24"/>
      <c r="BP76" s="24"/>
      <c r="BQ76" s="24"/>
      <c r="BR76" s="24"/>
      <c r="BS76" s="24"/>
      <c r="BT76" s="24"/>
      <c r="BU76" s="24"/>
      <c r="BV76" s="24"/>
    </row>
    <row r="77" spans="1:75" ht="15.75" customHeight="1" x14ac:dyDescent="0.45">
      <c r="C77" s="21" t="s">
        <v>201</v>
      </c>
      <c r="D77" s="191" t="s">
        <v>21</v>
      </c>
      <c r="E77" s="409">
        <f>O79</f>
        <v>1282.5</v>
      </c>
      <c r="F77" s="409">
        <f>P79</f>
        <v>1282.5</v>
      </c>
      <c r="J77" s="35"/>
      <c r="K77" s="21" t="s">
        <v>202</v>
      </c>
      <c r="N77" s="191" t="s">
        <v>21</v>
      </c>
      <c r="O77" s="178">
        <f>O32</f>
        <v>2850</v>
      </c>
      <c r="P77" s="178">
        <f>P32</f>
        <v>2850</v>
      </c>
      <c r="V77" s="22"/>
    </row>
    <row r="78" spans="1:75" ht="15.75" customHeight="1" x14ac:dyDescent="0.45">
      <c r="C78" s="21" t="s">
        <v>203</v>
      </c>
      <c r="D78" s="191" t="s">
        <v>25</v>
      </c>
      <c r="F78" s="163">
        <v>0.4</v>
      </c>
      <c r="K78" s="21" t="s">
        <v>110</v>
      </c>
      <c r="N78" s="191" t="s">
        <v>21</v>
      </c>
      <c r="O78" s="168">
        <f>O77*$F$78</f>
        <v>1140</v>
      </c>
      <c r="P78" s="168">
        <f t="shared" ref="P78" si="70">P77*$F$78</f>
        <v>1140</v>
      </c>
      <c r="V78" s="22"/>
    </row>
    <row r="79" spans="1:75" ht="15.75" customHeight="1" x14ac:dyDescent="0.45">
      <c r="C79" s="21" t="s">
        <v>204</v>
      </c>
      <c r="D79" s="191" t="s">
        <v>25</v>
      </c>
      <c r="F79" s="157">
        <v>0</v>
      </c>
      <c r="K79" s="21" t="s">
        <v>205</v>
      </c>
      <c r="N79" s="191" t="s">
        <v>21</v>
      </c>
      <c r="O79" s="168">
        <f>(O77-O78)*$F$80</f>
        <v>1282.5</v>
      </c>
      <c r="P79" s="168">
        <f t="shared" ref="P79" si="71">(P77-P78)*$F$80</f>
        <v>1282.5</v>
      </c>
      <c r="V79" s="22"/>
    </row>
    <row r="80" spans="1:75" x14ac:dyDescent="0.45">
      <c r="C80" s="21" t="s">
        <v>206</v>
      </c>
      <c r="D80" s="191" t="s">
        <v>25</v>
      </c>
      <c r="F80" s="157">
        <v>0.75</v>
      </c>
      <c r="J80" s="35"/>
      <c r="K80" s="21" t="s">
        <v>207</v>
      </c>
      <c r="N80" s="191" t="s">
        <v>21</v>
      </c>
      <c r="O80" s="168">
        <f>O79*$F$79</f>
        <v>0</v>
      </c>
      <c r="P80" s="168">
        <f>P79*$F$79</f>
        <v>0</v>
      </c>
      <c r="V80" s="22"/>
    </row>
    <row r="81" spans="1:93" ht="15.75" customHeight="1" x14ac:dyDescent="0.45">
      <c r="C81" s="21" t="s">
        <v>208</v>
      </c>
      <c r="D81" s="191" t="s">
        <v>14</v>
      </c>
      <c r="F81" s="150">
        <v>20</v>
      </c>
      <c r="K81" s="252" t="s">
        <v>209</v>
      </c>
      <c r="L81" s="250"/>
      <c r="M81" s="250"/>
      <c r="N81" s="191" t="s">
        <v>21</v>
      </c>
      <c r="O81" s="168">
        <f>O77-SUM(O78:O80)</f>
        <v>427.5</v>
      </c>
      <c r="P81" s="168">
        <f>P77-SUM(P78:P80)</f>
        <v>427.5</v>
      </c>
      <c r="V81" s="22"/>
    </row>
    <row r="82" spans="1:93" ht="15.75" customHeight="1" x14ac:dyDescent="0.45">
      <c r="C82" s="21" t="s">
        <v>210</v>
      </c>
      <c r="D82" s="191" t="s">
        <v>211</v>
      </c>
      <c r="F82" s="150">
        <v>3</v>
      </c>
      <c r="K82" s="21" t="s">
        <v>212</v>
      </c>
      <c r="N82" s="191" t="s">
        <v>21</v>
      </c>
      <c r="O82" s="168">
        <f>O79/$F$81</f>
        <v>64.125</v>
      </c>
      <c r="P82" s="168">
        <f>P79/$F$81</f>
        <v>64.125</v>
      </c>
      <c r="V82" s="22"/>
    </row>
    <row r="83" spans="1:93" ht="15.75" customHeight="1" x14ac:dyDescent="0.45">
      <c r="C83" s="21" t="s">
        <v>213</v>
      </c>
      <c r="D83" s="191" t="s">
        <v>25</v>
      </c>
      <c r="F83" s="153">
        <v>1.95E-2</v>
      </c>
      <c r="K83" s="21" t="s">
        <v>214</v>
      </c>
      <c r="N83" s="191" t="s">
        <v>215</v>
      </c>
      <c r="O83" s="168">
        <f>$F82+$F$18</f>
        <v>6</v>
      </c>
      <c r="P83" s="168">
        <f>$F82+$F$18</f>
        <v>6</v>
      </c>
      <c r="V83" s="22"/>
    </row>
    <row r="84" spans="1:93" ht="15.75" customHeight="1" x14ac:dyDescent="0.55000000000000004">
      <c r="J84" s="35"/>
      <c r="V84" s="22"/>
    </row>
    <row r="85" spans="1:93" ht="14.25" customHeight="1" x14ac:dyDescent="0.55000000000000004">
      <c r="A85" s="35"/>
      <c r="B85" s="223" t="s">
        <v>216</v>
      </c>
      <c r="E85" s="21" t="s">
        <v>55</v>
      </c>
      <c r="F85" s="21" t="s">
        <v>98</v>
      </c>
      <c r="I85" s="214"/>
      <c r="J85" s="223" t="s">
        <v>216</v>
      </c>
      <c r="K85" s="119"/>
      <c r="V85" s="22"/>
    </row>
    <row r="86" spans="1:93" ht="15.75" customHeight="1" x14ac:dyDescent="0.45">
      <c r="C86" s="21" t="s">
        <v>201</v>
      </c>
      <c r="D86" s="191" t="s">
        <v>21</v>
      </c>
      <c r="E86" s="409">
        <f>O95</f>
        <v>0</v>
      </c>
      <c r="F86" s="409">
        <f>P34</f>
        <v>0</v>
      </c>
      <c r="H86" s="120" t="s">
        <v>180</v>
      </c>
      <c r="K86" s="21" t="s">
        <v>217</v>
      </c>
      <c r="O86" s="22"/>
      <c r="P86" s="433"/>
    </row>
    <row r="87" spans="1:93" ht="15.75" customHeight="1" x14ac:dyDescent="0.45">
      <c r="C87" s="21" t="s">
        <v>164</v>
      </c>
      <c r="D87" s="191" t="s">
        <v>25</v>
      </c>
      <c r="F87" s="415"/>
      <c r="H87" s="120" t="s">
        <v>180</v>
      </c>
    </row>
    <row r="88" spans="1:93" ht="15.75" customHeight="1" x14ac:dyDescent="0.45">
      <c r="C88" s="21" t="s">
        <v>218</v>
      </c>
      <c r="D88" s="191" t="s">
        <v>25</v>
      </c>
      <c r="F88" s="416"/>
      <c r="H88" s="120" t="s">
        <v>180</v>
      </c>
    </row>
    <row r="89" spans="1:93" ht="15.75" customHeight="1" x14ac:dyDescent="0.55000000000000004"/>
    <row r="90" spans="1:93" ht="15.75" customHeight="1" x14ac:dyDescent="0.55000000000000004">
      <c r="J90" s="35"/>
      <c r="O90" s="22"/>
      <c r="P90" s="22"/>
      <c r="R90" s="35"/>
      <c r="S90" s="35"/>
      <c r="T90" s="35"/>
    </row>
    <row r="91" spans="1:93" ht="15.75" customHeight="1" thickBot="1" x14ac:dyDescent="0.6">
      <c r="A91" s="210" t="s">
        <v>43</v>
      </c>
      <c r="B91" s="225"/>
      <c r="C91" s="202"/>
      <c r="D91" s="203"/>
      <c r="E91" s="202"/>
      <c r="F91" s="202"/>
      <c r="G91" s="202"/>
      <c r="H91" s="202"/>
      <c r="I91" s="217" t="s">
        <v>43</v>
      </c>
      <c r="J91" s="225"/>
      <c r="K91" s="338"/>
      <c r="L91" s="202"/>
      <c r="M91" s="202"/>
      <c r="N91" s="203"/>
      <c r="O91" s="202"/>
      <c r="P91" s="202"/>
      <c r="Q91" s="202"/>
      <c r="R91" s="202"/>
      <c r="S91" s="202"/>
      <c r="T91" s="202"/>
      <c r="U91" s="202"/>
      <c r="V91" s="289"/>
      <c r="Y91" s="23"/>
      <c r="Z91" s="23"/>
      <c r="AA91" s="24"/>
      <c r="AB91" s="24"/>
      <c r="AC91" s="24"/>
      <c r="AD91" s="24"/>
      <c r="AE91" s="24"/>
      <c r="AF91" s="24"/>
      <c r="AG91" s="24"/>
      <c r="AH91" s="24"/>
      <c r="AI91" s="24"/>
      <c r="AJ91" s="24"/>
      <c r="AK91" s="24"/>
      <c r="AL91" s="24"/>
      <c r="AM91" s="25"/>
      <c r="AN91" s="25"/>
      <c r="AP91" s="25"/>
      <c r="AQ91" s="24"/>
      <c r="AR91" s="24"/>
      <c r="AS91" s="24"/>
      <c r="AT91" s="24"/>
      <c r="AU91" s="24"/>
      <c r="AV91" s="24"/>
      <c r="AW91" s="24"/>
      <c r="AX91" s="24"/>
      <c r="AY91" s="24"/>
      <c r="AZ91" s="24"/>
      <c r="BA91" s="24"/>
      <c r="BB91" s="24"/>
      <c r="BC91" s="24"/>
      <c r="BD91" s="24"/>
      <c r="BE91" s="24"/>
      <c r="BF91" s="24"/>
      <c r="BH91" s="26"/>
      <c r="BJ91" s="24"/>
      <c r="BK91" s="24"/>
      <c r="BL91" s="24"/>
      <c r="BM91" s="24"/>
      <c r="BN91" s="24"/>
      <c r="BO91" s="24"/>
      <c r="BP91" s="24"/>
      <c r="BQ91" s="24"/>
      <c r="BR91" s="24"/>
      <c r="BS91" s="24"/>
      <c r="BT91" s="24"/>
      <c r="BU91" s="24"/>
      <c r="BV91" s="24"/>
      <c r="BW91" s="24"/>
      <c r="BX91" s="24"/>
      <c r="BY91" s="24"/>
      <c r="BZ91" s="24"/>
      <c r="CA91" s="24"/>
      <c r="CB91" s="22"/>
      <c r="CC91" s="24"/>
      <c r="CD91" s="24"/>
      <c r="CE91" s="24"/>
      <c r="CF91" s="24"/>
      <c r="CG91" s="24"/>
      <c r="CH91" s="22"/>
      <c r="CI91" s="24"/>
      <c r="CJ91" s="24"/>
      <c r="CK91" s="22"/>
      <c r="CL91" s="22"/>
      <c r="CM91" s="22"/>
      <c r="CN91" s="22"/>
      <c r="CO91" s="22"/>
    </row>
    <row r="92" spans="1:93" ht="15.75" customHeight="1" x14ac:dyDescent="0.55000000000000004">
      <c r="A92" s="35"/>
      <c r="O92" s="22"/>
      <c r="P92" s="37" t="s">
        <v>219</v>
      </c>
    </row>
    <row r="93" spans="1:93" ht="15.75" customHeight="1" x14ac:dyDescent="0.55000000000000004">
      <c r="A93" s="207"/>
      <c r="B93" s="223" t="s">
        <v>220</v>
      </c>
      <c r="C93" s="422"/>
      <c r="I93" s="214"/>
      <c r="J93" s="223" t="s">
        <v>220</v>
      </c>
      <c r="K93" s="119"/>
      <c r="O93" s="22"/>
      <c r="P93" s="22"/>
      <c r="V93" s="289"/>
      <c r="Y93" s="23"/>
      <c r="Z93" s="23"/>
      <c r="AA93" s="24"/>
      <c r="AB93" s="24"/>
      <c r="AC93" s="24"/>
      <c r="AD93" s="24"/>
      <c r="AE93" s="24"/>
      <c r="AF93" s="24"/>
      <c r="AG93" s="24"/>
      <c r="AH93" s="24"/>
      <c r="AI93" s="24"/>
      <c r="AJ93" s="24"/>
      <c r="AK93" s="24"/>
      <c r="AL93" s="24"/>
      <c r="AM93" s="25"/>
      <c r="AN93" s="25"/>
      <c r="AP93" s="25"/>
      <c r="AQ93" s="24"/>
      <c r="AR93" s="24"/>
      <c r="AS93" s="24"/>
      <c r="AT93" s="24"/>
      <c r="AU93" s="24"/>
      <c r="AV93" s="24"/>
      <c r="AW93" s="24"/>
      <c r="AX93" s="24"/>
      <c r="AY93" s="24"/>
      <c r="AZ93" s="24"/>
      <c r="BA93" s="24"/>
      <c r="BB93" s="24"/>
      <c r="BC93" s="24"/>
      <c r="BD93" s="24"/>
      <c r="BE93" s="24"/>
      <c r="BF93" s="24"/>
      <c r="BH93" s="26"/>
      <c r="BJ93" s="24"/>
      <c r="BK93" s="24"/>
      <c r="BL93" s="24"/>
      <c r="BM93" s="24"/>
      <c r="BN93" s="24"/>
      <c r="BO93" s="24"/>
      <c r="BP93" s="24"/>
      <c r="BQ93" s="24"/>
      <c r="BR93" s="24"/>
      <c r="BS93" s="24"/>
      <c r="BT93" s="24"/>
      <c r="BU93" s="24"/>
      <c r="BV93" s="24"/>
      <c r="BW93" s="24"/>
      <c r="BX93" s="24"/>
      <c r="BY93" s="24"/>
      <c r="BZ93" s="24"/>
      <c r="CA93" s="24"/>
      <c r="CB93" s="22"/>
      <c r="CC93" s="24"/>
      <c r="CD93" s="24"/>
      <c r="CE93" s="24"/>
      <c r="CF93" s="24"/>
      <c r="CG93" s="24"/>
      <c r="CH93" s="22"/>
      <c r="CI93" s="24"/>
      <c r="CJ93" s="24"/>
      <c r="CK93" s="22"/>
      <c r="CL93" s="22"/>
      <c r="CM93" s="22"/>
      <c r="CN93" s="22"/>
      <c r="CO93" s="22"/>
    </row>
    <row r="94" spans="1:93" ht="15.75" customHeight="1" x14ac:dyDescent="0.45">
      <c r="C94" s="21" t="s">
        <v>221</v>
      </c>
      <c r="D94" s="191" t="s">
        <v>21</v>
      </c>
      <c r="F94" s="433"/>
      <c r="H94" s="120" t="s">
        <v>180</v>
      </c>
      <c r="K94" s="119" t="s">
        <v>222</v>
      </c>
      <c r="N94" s="191" t="s">
        <v>21</v>
      </c>
      <c r="O94" s="122"/>
      <c r="P94" s="433"/>
    </row>
    <row r="95" spans="1:93" ht="15.75" customHeight="1" x14ac:dyDescent="0.45">
      <c r="C95" s="21" t="s">
        <v>395</v>
      </c>
      <c r="D95" s="191" t="s">
        <v>25</v>
      </c>
      <c r="F95" s="414"/>
      <c r="H95" s="21" t="s">
        <v>223</v>
      </c>
      <c r="K95" s="119" t="s">
        <v>224</v>
      </c>
      <c r="N95" s="191" t="s">
        <v>49</v>
      </c>
      <c r="O95" s="122"/>
      <c r="P95" s="496"/>
    </row>
    <row r="96" spans="1:93" ht="15.75" customHeight="1" x14ac:dyDescent="0.45">
      <c r="C96" s="21" t="s">
        <v>225</v>
      </c>
      <c r="K96" s="275" t="s">
        <v>226</v>
      </c>
      <c r="L96" s="241"/>
      <c r="M96" s="241"/>
      <c r="N96" s="242" t="s">
        <v>21</v>
      </c>
      <c r="O96" s="241"/>
      <c r="P96" s="497"/>
    </row>
    <row r="97" spans="1:93" ht="15.75" customHeight="1" x14ac:dyDescent="0.45">
      <c r="C97" s="21" t="s">
        <v>226</v>
      </c>
      <c r="D97" s="191" t="s">
        <v>21</v>
      </c>
      <c r="F97" s="414"/>
      <c r="H97" s="21" t="s">
        <v>227</v>
      </c>
      <c r="O97" s="122"/>
      <c r="P97" s="92"/>
    </row>
    <row r="98" spans="1:93" ht="15.75" customHeight="1" x14ac:dyDescent="0.45">
      <c r="K98" s="21" t="s">
        <v>225</v>
      </c>
      <c r="N98" s="191" t="s">
        <v>21</v>
      </c>
      <c r="O98" s="122"/>
      <c r="P98" s="433"/>
    </row>
    <row r="99" spans="1:93" ht="15.75" customHeight="1" x14ac:dyDescent="0.55000000000000004">
      <c r="O99" s="122"/>
      <c r="W99" s="138"/>
    </row>
    <row r="100" spans="1:93" ht="15.75" customHeight="1" x14ac:dyDescent="0.55000000000000004">
      <c r="A100" s="207"/>
      <c r="B100" s="223" t="s">
        <v>228</v>
      </c>
      <c r="C100" s="423"/>
      <c r="I100" s="214"/>
      <c r="J100" s="223" t="s">
        <v>228</v>
      </c>
      <c r="K100" s="119"/>
      <c r="P100" s="92"/>
      <c r="V100" s="289"/>
      <c r="Y100" s="23"/>
      <c r="Z100" s="23"/>
      <c r="AA100" s="24"/>
      <c r="AB100" s="24"/>
      <c r="AC100" s="24"/>
      <c r="AD100" s="24"/>
      <c r="AE100" s="24"/>
      <c r="AF100" s="24"/>
      <c r="AG100" s="24"/>
      <c r="AH100" s="24"/>
      <c r="AI100" s="24"/>
      <c r="AJ100" s="24"/>
      <c r="AK100" s="24"/>
      <c r="AL100" s="24"/>
      <c r="AM100" s="25"/>
      <c r="AN100" s="25"/>
      <c r="AP100" s="25"/>
      <c r="AQ100" s="24"/>
      <c r="AR100" s="24"/>
      <c r="AS100" s="24"/>
      <c r="AT100" s="24"/>
      <c r="AU100" s="24"/>
      <c r="AV100" s="24"/>
      <c r="AW100" s="24"/>
      <c r="AX100" s="24"/>
      <c r="AY100" s="24"/>
      <c r="AZ100" s="24"/>
      <c r="BA100" s="24"/>
      <c r="BB100" s="24"/>
      <c r="BC100" s="24"/>
      <c r="BD100" s="24"/>
      <c r="BE100" s="24"/>
      <c r="BF100" s="24"/>
      <c r="BH100" s="26"/>
      <c r="BJ100" s="24"/>
      <c r="BK100" s="24"/>
      <c r="BL100" s="24"/>
      <c r="BM100" s="24"/>
      <c r="BN100" s="24"/>
      <c r="BO100" s="24"/>
      <c r="BP100" s="24"/>
      <c r="BQ100" s="24"/>
      <c r="BR100" s="24"/>
      <c r="BS100" s="24"/>
      <c r="BT100" s="24"/>
      <c r="BU100" s="24"/>
      <c r="BV100" s="24"/>
      <c r="BW100" s="24"/>
      <c r="BX100" s="24"/>
      <c r="BY100" s="24"/>
      <c r="BZ100" s="24"/>
      <c r="CA100" s="24"/>
      <c r="CB100" s="22"/>
      <c r="CC100" s="24"/>
      <c r="CD100" s="24"/>
      <c r="CE100" s="24"/>
      <c r="CF100" s="24"/>
      <c r="CG100" s="24"/>
      <c r="CH100" s="22"/>
      <c r="CI100" s="24"/>
      <c r="CJ100" s="24"/>
      <c r="CK100" s="22"/>
      <c r="CL100" s="22"/>
      <c r="CM100" s="22"/>
      <c r="CN100" s="22"/>
      <c r="CO100" s="22"/>
    </row>
    <row r="101" spans="1:93" ht="15.75" customHeight="1" x14ac:dyDescent="0.45">
      <c r="C101" s="21" t="s">
        <v>229</v>
      </c>
      <c r="K101" s="119" t="s">
        <v>229</v>
      </c>
      <c r="N101" s="191" t="s">
        <v>21</v>
      </c>
      <c r="O101" s="122"/>
      <c r="P101" s="433"/>
    </row>
    <row r="102" spans="1:93" ht="15.75" customHeight="1" x14ac:dyDescent="0.45">
      <c r="C102" s="21" t="s">
        <v>230</v>
      </c>
      <c r="D102" s="191" t="s">
        <v>21</v>
      </c>
      <c r="F102" s="414"/>
      <c r="H102" s="120" t="s">
        <v>180</v>
      </c>
      <c r="K102" s="119" t="s">
        <v>231</v>
      </c>
      <c r="N102" s="191" t="s">
        <v>21</v>
      </c>
      <c r="O102" s="122"/>
      <c r="P102" s="433"/>
    </row>
    <row r="103" spans="1:93" ht="15.75" customHeight="1" x14ac:dyDescent="0.45">
      <c r="C103" s="21" t="s">
        <v>224</v>
      </c>
      <c r="D103" s="191" t="s">
        <v>25</v>
      </c>
      <c r="F103" s="414"/>
      <c r="H103" s="21" t="s">
        <v>232</v>
      </c>
      <c r="K103" s="119" t="s">
        <v>233</v>
      </c>
      <c r="N103" s="191" t="s">
        <v>21</v>
      </c>
      <c r="O103" s="122"/>
      <c r="P103" s="433"/>
    </row>
    <row r="104" spans="1:93" ht="15.75" customHeight="1" x14ac:dyDescent="0.55000000000000004">
      <c r="C104" s="21" t="s">
        <v>234</v>
      </c>
      <c r="K104" s="119"/>
    </row>
    <row r="105" spans="1:93" ht="15.75" customHeight="1" x14ac:dyDescent="0.45">
      <c r="C105" s="21" t="s">
        <v>230</v>
      </c>
      <c r="D105" s="191" t="s">
        <v>21</v>
      </c>
      <c r="F105" s="414"/>
      <c r="H105" s="120" t="s">
        <v>180</v>
      </c>
      <c r="K105" s="119" t="s">
        <v>235</v>
      </c>
      <c r="N105" s="191" t="s">
        <v>21</v>
      </c>
      <c r="P105" s="433"/>
    </row>
    <row r="106" spans="1:93" ht="15.75" customHeight="1" x14ac:dyDescent="0.45">
      <c r="C106" s="21" t="s">
        <v>224</v>
      </c>
      <c r="D106" s="191" t="s">
        <v>25</v>
      </c>
      <c r="F106" s="414"/>
      <c r="H106" s="21" t="s">
        <v>232</v>
      </c>
      <c r="K106" s="119" t="s">
        <v>236</v>
      </c>
      <c r="N106" s="191" t="s">
        <v>21</v>
      </c>
      <c r="P106" s="433"/>
    </row>
    <row r="107" spans="1:93" ht="15.75" customHeight="1" x14ac:dyDescent="0.45">
      <c r="C107" s="21" t="s">
        <v>233</v>
      </c>
      <c r="K107" s="119" t="s">
        <v>237</v>
      </c>
      <c r="N107" s="191" t="s">
        <v>21</v>
      </c>
      <c r="P107" s="433"/>
    </row>
    <row r="108" spans="1:93" x14ac:dyDescent="0.45">
      <c r="C108" s="21" t="s">
        <v>230</v>
      </c>
      <c r="D108" s="191" t="s">
        <v>21</v>
      </c>
      <c r="F108" s="414"/>
      <c r="H108" s="120" t="s">
        <v>180</v>
      </c>
    </row>
    <row r="109" spans="1:93" x14ac:dyDescent="0.45">
      <c r="C109" s="21" t="s">
        <v>224</v>
      </c>
      <c r="D109" s="191" t="s">
        <v>25</v>
      </c>
      <c r="F109" s="414"/>
      <c r="H109" s="21" t="s">
        <v>232</v>
      </c>
    </row>
    <row r="110" spans="1:93" x14ac:dyDescent="0.55000000000000004"/>
    <row r="111" spans="1:93" ht="15.75" customHeight="1" x14ac:dyDescent="0.55000000000000004">
      <c r="A111" s="207"/>
      <c r="B111" s="223" t="s">
        <v>238</v>
      </c>
      <c r="C111" s="423"/>
      <c r="I111" s="214"/>
      <c r="J111" s="223" t="s">
        <v>238</v>
      </c>
      <c r="K111" s="119"/>
      <c r="P111" s="35" t="s">
        <v>239</v>
      </c>
      <c r="V111" s="289"/>
      <c r="Y111" s="23"/>
      <c r="Z111" s="23"/>
      <c r="AA111" s="24"/>
      <c r="AB111" s="24"/>
      <c r="AC111" s="24"/>
      <c r="AD111" s="24"/>
      <c r="AE111" s="24"/>
      <c r="AF111" s="24"/>
      <c r="AG111" s="24"/>
      <c r="AH111" s="24"/>
      <c r="AI111" s="24"/>
      <c r="AJ111" s="24"/>
      <c r="AK111" s="24"/>
      <c r="AL111" s="24"/>
      <c r="AM111" s="25"/>
      <c r="AN111" s="25"/>
      <c r="AP111" s="25"/>
      <c r="AQ111" s="24"/>
      <c r="AR111" s="24"/>
      <c r="AS111" s="24"/>
      <c r="AT111" s="24"/>
      <c r="AU111" s="24"/>
      <c r="AV111" s="24"/>
      <c r="AW111" s="24"/>
      <c r="AX111" s="24"/>
      <c r="AY111" s="24"/>
      <c r="AZ111" s="24"/>
      <c r="BA111" s="24"/>
      <c r="BB111" s="24"/>
      <c r="BC111" s="24"/>
      <c r="BD111" s="24"/>
      <c r="BE111" s="24"/>
      <c r="BF111" s="24"/>
      <c r="BH111" s="26"/>
      <c r="BJ111" s="24"/>
      <c r="BK111" s="24"/>
      <c r="BL111" s="24"/>
      <c r="BM111" s="24"/>
      <c r="BN111" s="24"/>
      <c r="BO111" s="24"/>
      <c r="BP111" s="24"/>
      <c r="BQ111" s="24"/>
      <c r="BR111" s="24"/>
      <c r="BS111" s="24"/>
      <c r="BT111" s="24"/>
      <c r="BU111" s="24"/>
      <c r="BV111" s="24"/>
      <c r="BW111" s="24"/>
      <c r="BX111" s="24"/>
      <c r="BY111" s="24"/>
      <c r="BZ111" s="24"/>
      <c r="CA111" s="24"/>
      <c r="CB111" s="22"/>
      <c r="CC111" s="24"/>
      <c r="CD111" s="24"/>
      <c r="CE111" s="24"/>
      <c r="CF111" s="24"/>
      <c r="CG111" s="24"/>
      <c r="CH111" s="22"/>
      <c r="CI111" s="24"/>
      <c r="CJ111" s="24"/>
      <c r="CK111" s="22"/>
      <c r="CL111" s="22"/>
      <c r="CM111" s="22"/>
      <c r="CN111" s="22"/>
      <c r="CO111" s="22"/>
    </row>
    <row r="112" spans="1:93" x14ac:dyDescent="0.45">
      <c r="C112" s="21" t="s">
        <v>239</v>
      </c>
      <c r="K112" s="119" t="s">
        <v>230</v>
      </c>
      <c r="N112" s="191" t="s">
        <v>21</v>
      </c>
      <c r="P112" s="433"/>
    </row>
    <row r="113" spans="3:16" x14ac:dyDescent="0.45">
      <c r="C113" s="21" t="s">
        <v>230</v>
      </c>
      <c r="D113" s="191" t="s">
        <v>21</v>
      </c>
      <c r="F113" s="433"/>
      <c r="H113" s="120" t="s">
        <v>180</v>
      </c>
      <c r="K113" s="119" t="s">
        <v>224</v>
      </c>
      <c r="N113" s="191" t="s">
        <v>25</v>
      </c>
      <c r="P113" s="433"/>
    </row>
    <row r="114" spans="3:16" x14ac:dyDescent="0.45">
      <c r="C114" s="21" t="s">
        <v>396</v>
      </c>
      <c r="D114" s="191" t="s">
        <v>25</v>
      </c>
      <c r="F114" s="433"/>
      <c r="H114" s="21" t="s">
        <v>240</v>
      </c>
      <c r="K114" s="275" t="s">
        <v>226</v>
      </c>
      <c r="L114" s="241"/>
      <c r="M114" s="241"/>
      <c r="N114" s="242" t="s">
        <v>21</v>
      </c>
      <c r="O114" s="417"/>
      <c r="P114" s="433"/>
    </row>
    <row r="115" spans="3:16" x14ac:dyDescent="0.55000000000000004">
      <c r="C115" s="21" t="s">
        <v>241</v>
      </c>
      <c r="K115" s="119"/>
    </row>
    <row r="116" spans="3:16" x14ac:dyDescent="0.45">
      <c r="C116" s="21" t="s">
        <v>242</v>
      </c>
      <c r="D116" s="191" t="s">
        <v>21</v>
      </c>
      <c r="F116" s="433"/>
      <c r="H116" s="120" t="s">
        <v>180</v>
      </c>
      <c r="K116" s="119"/>
      <c r="O116" s="393"/>
      <c r="P116" s="35" t="s">
        <v>243</v>
      </c>
    </row>
    <row r="117" spans="3:16" x14ac:dyDescent="0.45">
      <c r="C117" s="21" t="s">
        <v>397</v>
      </c>
      <c r="D117" s="191" t="s">
        <v>25</v>
      </c>
      <c r="F117" s="433"/>
      <c r="H117" s="21" t="s">
        <v>240</v>
      </c>
      <c r="K117" s="119" t="s">
        <v>230</v>
      </c>
      <c r="N117" s="191" t="s">
        <v>21</v>
      </c>
      <c r="O117" s="393"/>
      <c r="P117" s="433"/>
    </row>
    <row r="118" spans="3:16" x14ac:dyDescent="0.45">
      <c r="C118" s="21" t="s">
        <v>244</v>
      </c>
      <c r="K118" s="119" t="s">
        <v>224</v>
      </c>
      <c r="N118" s="191" t="s">
        <v>25</v>
      </c>
      <c r="O118" s="393"/>
      <c r="P118" s="433"/>
    </row>
    <row r="119" spans="3:16" x14ac:dyDescent="0.45">
      <c r="C119" s="21" t="s">
        <v>242</v>
      </c>
      <c r="D119" s="191" t="s">
        <v>21</v>
      </c>
      <c r="F119" s="433"/>
      <c r="H119" s="120" t="s">
        <v>180</v>
      </c>
      <c r="K119" s="275" t="s">
        <v>226</v>
      </c>
      <c r="L119" s="241"/>
      <c r="M119" s="241"/>
      <c r="N119" s="242" t="s">
        <v>21</v>
      </c>
      <c r="O119" s="417"/>
      <c r="P119" s="433"/>
    </row>
    <row r="120" spans="3:16" x14ac:dyDescent="0.45">
      <c r="C120" s="21" t="s">
        <v>397</v>
      </c>
      <c r="D120" s="191" t="s">
        <v>25</v>
      </c>
      <c r="F120" s="433"/>
      <c r="H120" s="21" t="s">
        <v>245</v>
      </c>
      <c r="K120" s="119"/>
    </row>
    <row r="121" spans="3:16" x14ac:dyDescent="0.55000000000000004">
      <c r="K121" s="119"/>
      <c r="O121" s="393"/>
      <c r="P121" s="35" t="s">
        <v>246</v>
      </c>
    </row>
    <row r="122" spans="3:16" x14ac:dyDescent="0.45">
      <c r="C122" s="21" t="s">
        <v>247</v>
      </c>
      <c r="D122" s="191" t="s">
        <v>21</v>
      </c>
      <c r="F122" s="433"/>
      <c r="H122" s="120" t="s">
        <v>180</v>
      </c>
      <c r="K122" s="119" t="s">
        <v>230</v>
      </c>
      <c r="N122" s="191" t="s">
        <v>21</v>
      </c>
      <c r="O122" s="393"/>
      <c r="P122" s="433"/>
    </row>
    <row r="123" spans="3:16" x14ac:dyDescent="0.45">
      <c r="C123" s="21" t="s">
        <v>248</v>
      </c>
      <c r="D123" s="191" t="s">
        <v>21</v>
      </c>
      <c r="F123" s="433"/>
      <c r="H123" s="120" t="s">
        <v>180</v>
      </c>
      <c r="K123" s="119" t="s">
        <v>224</v>
      </c>
      <c r="N123" s="191" t="s">
        <v>25</v>
      </c>
      <c r="O123" s="393"/>
      <c r="P123" s="433"/>
    </row>
    <row r="124" spans="3:16" x14ac:dyDescent="0.45">
      <c r="K124" s="275" t="s">
        <v>226</v>
      </c>
      <c r="L124" s="241"/>
      <c r="M124" s="241"/>
      <c r="N124" s="242" t="s">
        <v>21</v>
      </c>
      <c r="O124" s="417"/>
      <c r="P124" s="433"/>
    </row>
    <row r="125" spans="3:16" x14ac:dyDescent="0.55000000000000004">
      <c r="K125" s="119"/>
      <c r="O125" s="393"/>
    </row>
    <row r="126" spans="3:16" x14ac:dyDescent="0.45">
      <c r="K126" s="119" t="s">
        <v>249</v>
      </c>
      <c r="N126" s="191" t="s">
        <v>21</v>
      </c>
      <c r="P126" s="433"/>
    </row>
    <row r="127" spans="3:16" x14ac:dyDescent="0.45">
      <c r="K127" s="119" t="s">
        <v>250</v>
      </c>
      <c r="N127" s="191" t="s">
        <v>21</v>
      </c>
      <c r="P127" s="433"/>
    </row>
    <row r="128" spans="3:16" x14ac:dyDescent="0.55000000000000004">
      <c r="K128" s="119"/>
      <c r="P128" s="334"/>
    </row>
    <row r="129" spans="1:104" x14ac:dyDescent="0.45">
      <c r="K129" s="119" t="s">
        <v>251</v>
      </c>
      <c r="N129" s="191" t="s">
        <v>21</v>
      </c>
      <c r="P129" s="433"/>
    </row>
    <row r="130" spans="1:104" x14ac:dyDescent="0.45">
      <c r="K130" s="21" t="s">
        <v>252</v>
      </c>
      <c r="P130" s="433"/>
    </row>
    <row r="131" spans="1:104" x14ac:dyDescent="0.45">
      <c r="K131" s="119" t="s">
        <v>237</v>
      </c>
      <c r="N131" s="191" t="s">
        <v>21</v>
      </c>
      <c r="P131" s="433"/>
    </row>
    <row r="132" spans="1:104" x14ac:dyDescent="0.55000000000000004">
      <c r="P132" s="393"/>
    </row>
    <row r="133" spans="1:104" ht="15.75" customHeight="1" thickBot="1" x14ac:dyDescent="0.6">
      <c r="A133" s="210" t="s">
        <v>45</v>
      </c>
      <c r="B133" s="225"/>
      <c r="C133" s="202"/>
      <c r="D133" s="203"/>
      <c r="E133" s="202"/>
      <c r="F133" s="202"/>
      <c r="G133" s="202"/>
      <c r="H133" s="202"/>
      <c r="I133" s="217" t="s">
        <v>253</v>
      </c>
      <c r="J133" s="225"/>
      <c r="K133" s="202"/>
      <c r="L133" s="202"/>
      <c r="M133" s="202"/>
      <c r="N133" s="203"/>
      <c r="O133" s="202"/>
      <c r="P133" s="202"/>
      <c r="Q133" s="202"/>
      <c r="R133" s="202"/>
      <c r="S133" s="202"/>
      <c r="T133" s="202"/>
      <c r="U133" s="202"/>
      <c r="V133" s="289"/>
      <c r="Y133" s="23"/>
      <c r="Z133" s="23"/>
      <c r="AA133" s="24"/>
      <c r="AB133" s="24"/>
      <c r="AC133" s="24"/>
      <c r="AD133" s="24"/>
      <c r="AE133" s="24"/>
      <c r="AF133" s="24"/>
      <c r="AG133" s="24"/>
      <c r="AH133" s="24"/>
      <c r="AI133" s="24"/>
      <c r="AJ133" s="24"/>
      <c r="AK133" s="24"/>
      <c r="AL133" s="24"/>
      <c r="AM133" s="24"/>
      <c r="AN133" s="24"/>
      <c r="AO133" s="24"/>
      <c r="AP133" s="24"/>
      <c r="AQ133" s="24"/>
      <c r="AR133" s="24"/>
      <c r="AS133" s="24"/>
      <c r="AT133" s="25"/>
      <c r="AU133" s="25"/>
      <c r="AV133" s="26"/>
      <c r="AW133" s="25"/>
      <c r="AX133" s="24"/>
      <c r="AY133" s="24"/>
      <c r="AZ133" s="24"/>
      <c r="BA133" s="24"/>
      <c r="BB133" s="24"/>
      <c r="BC133" s="24"/>
      <c r="BD133" s="24"/>
      <c r="BE133" s="24"/>
      <c r="BF133" s="24"/>
      <c r="BG133" s="24"/>
      <c r="BH133" s="24"/>
      <c r="BI133" s="24"/>
      <c r="BJ133" s="24"/>
      <c r="BK133" s="24"/>
      <c r="BL133" s="24"/>
      <c r="BM133" s="24"/>
      <c r="BN133" s="24"/>
      <c r="BO133" s="24"/>
      <c r="BP133" s="24"/>
      <c r="BQ133" s="24"/>
      <c r="BR133" s="24"/>
      <c r="BT133" s="26"/>
      <c r="BV133" s="24"/>
      <c r="BW133" s="24"/>
      <c r="BX133" s="24"/>
      <c r="BY133" s="24"/>
      <c r="BZ133" s="24"/>
      <c r="CA133" s="24"/>
      <c r="CB133" s="24"/>
      <c r="CC133" s="24"/>
      <c r="CD133" s="24"/>
      <c r="CE133" s="24"/>
      <c r="CF133" s="24"/>
      <c r="CG133" s="24"/>
      <c r="CH133" s="24"/>
      <c r="CI133" s="24"/>
      <c r="CJ133" s="24"/>
      <c r="CK133" s="24"/>
      <c r="CL133" s="22"/>
      <c r="CM133" s="24"/>
      <c r="CN133" s="24"/>
      <c r="CO133" s="24"/>
      <c r="CP133" s="24"/>
      <c r="CQ133" s="24"/>
      <c r="CR133" s="22"/>
      <c r="CS133" s="24"/>
      <c r="CT133" s="24"/>
      <c r="CV133" s="22"/>
      <c r="CW133" s="22"/>
      <c r="CX133" s="22"/>
      <c r="CY133" s="22"/>
      <c r="CZ133" s="22"/>
    </row>
    <row r="134" spans="1:104" x14ac:dyDescent="0.55000000000000004">
      <c r="A134" s="35"/>
    </row>
    <row r="135" spans="1:104" ht="21" x14ac:dyDescent="0.55000000000000004">
      <c r="B135" s="223" t="s">
        <v>254</v>
      </c>
      <c r="C135" s="422"/>
      <c r="D135" s="198"/>
      <c r="E135" s="26"/>
      <c r="I135" s="214"/>
      <c r="J135" s="223" t="s">
        <v>254</v>
      </c>
      <c r="K135" s="119"/>
      <c r="O135" s="21" t="s">
        <v>55</v>
      </c>
      <c r="P135" s="21" t="s">
        <v>98</v>
      </c>
    </row>
    <row r="136" spans="1:104" x14ac:dyDescent="0.45">
      <c r="A136" s="35"/>
      <c r="C136" s="21" t="s">
        <v>181</v>
      </c>
      <c r="D136" s="191" t="s">
        <v>21</v>
      </c>
      <c r="F136" s="413"/>
      <c r="H136" s="120" t="s">
        <v>180</v>
      </c>
      <c r="K136" s="21" t="s">
        <v>255</v>
      </c>
      <c r="N136" s="191" t="s">
        <v>21</v>
      </c>
      <c r="O136" s="174">
        <f>F136</f>
        <v>0</v>
      </c>
      <c r="P136" s="169"/>
    </row>
    <row r="137" spans="1:104" x14ac:dyDescent="0.45">
      <c r="A137" s="35"/>
      <c r="C137" s="21" t="s">
        <v>256</v>
      </c>
      <c r="D137" s="191" t="s">
        <v>21</v>
      </c>
      <c r="F137" s="413"/>
      <c r="H137" s="120" t="s">
        <v>180</v>
      </c>
      <c r="K137" s="21" t="s">
        <v>257</v>
      </c>
      <c r="N137" s="191" t="s">
        <v>21</v>
      </c>
      <c r="O137" s="176">
        <f>F137*O17</f>
        <v>0</v>
      </c>
      <c r="P137" s="169"/>
    </row>
    <row r="138" spans="1:104" x14ac:dyDescent="0.45">
      <c r="C138" s="21" t="s">
        <v>258</v>
      </c>
      <c r="D138" s="191" t="s">
        <v>21</v>
      </c>
      <c r="F138" s="413"/>
      <c r="H138" s="120" t="s">
        <v>180</v>
      </c>
      <c r="K138" s="21" t="s">
        <v>259</v>
      </c>
      <c r="N138" s="191" t="s">
        <v>21</v>
      </c>
      <c r="O138" s="174">
        <f>F138</f>
        <v>0</v>
      </c>
      <c r="P138" s="169"/>
    </row>
    <row r="139" spans="1:104" x14ac:dyDescent="0.45">
      <c r="K139" s="21" t="s">
        <v>260</v>
      </c>
      <c r="M139" s="21" t="s">
        <v>261</v>
      </c>
      <c r="N139" s="191" t="s">
        <v>25</v>
      </c>
      <c r="O139" s="144">
        <f>F83</f>
        <v>1.95E-2</v>
      </c>
      <c r="P139" s="169"/>
    </row>
    <row r="140" spans="1:104" x14ac:dyDescent="0.45">
      <c r="M140" s="21" t="s">
        <v>262</v>
      </c>
      <c r="N140" s="191" t="s">
        <v>25</v>
      </c>
      <c r="O140" s="145">
        <f>P86</f>
        <v>0</v>
      </c>
      <c r="P140" s="169"/>
    </row>
    <row r="141" spans="1:104" x14ac:dyDescent="0.45">
      <c r="M141" s="21" t="s">
        <v>263</v>
      </c>
      <c r="N141" s="191" t="s">
        <v>25</v>
      </c>
      <c r="O141" s="140">
        <f>O140-O139</f>
        <v>-1.95E-2</v>
      </c>
      <c r="P141" s="169"/>
    </row>
    <row r="142" spans="1:104" x14ac:dyDescent="0.45">
      <c r="M142" s="141" t="s">
        <v>264</v>
      </c>
      <c r="N142" s="191" t="s">
        <v>21</v>
      </c>
      <c r="O142" s="176">
        <f>SUM(AK18:AK47)</f>
        <v>0</v>
      </c>
      <c r="P142" s="169"/>
    </row>
    <row r="143" spans="1:104" x14ac:dyDescent="0.55000000000000004">
      <c r="A143" s="35"/>
    </row>
    <row r="144" spans="1:104" s="142" customFormat="1" ht="15" customHeight="1" thickBot="1" x14ac:dyDescent="0.6">
      <c r="B144" s="142" t="s">
        <v>265</v>
      </c>
      <c r="C144" s="424"/>
      <c r="D144" s="190"/>
      <c r="E144" s="167"/>
      <c r="F144" s="167"/>
      <c r="I144" s="333"/>
      <c r="N144" s="190"/>
      <c r="O144" s="167"/>
      <c r="P144" s="167"/>
    </row>
    <row r="145" ht="17" thickTop="1" x14ac:dyDescent="0.55000000000000004"/>
    <row r="146" x14ac:dyDescent="0.55000000000000004"/>
    <row r="147" x14ac:dyDescent="0.55000000000000004"/>
    <row r="148" x14ac:dyDescent="0.55000000000000004"/>
    <row r="149" x14ac:dyDescent="0.55000000000000004"/>
    <row r="150" x14ac:dyDescent="0.55000000000000004"/>
    <row r="151" x14ac:dyDescent="0.55000000000000004"/>
    <row r="152" x14ac:dyDescent="0.55000000000000004"/>
    <row r="153" x14ac:dyDescent="0.55000000000000004"/>
    <row r="154" x14ac:dyDescent="0.55000000000000004"/>
    <row r="155" x14ac:dyDescent="0.55000000000000004"/>
    <row r="156" x14ac:dyDescent="0.55000000000000004"/>
    <row r="157" x14ac:dyDescent="0.55000000000000004"/>
    <row r="158" x14ac:dyDescent="0.55000000000000004"/>
    <row r="159" x14ac:dyDescent="0.55000000000000004"/>
    <row r="160" x14ac:dyDescent="0.55000000000000004"/>
    <row r="161" x14ac:dyDescent="0.55000000000000004"/>
    <row r="162" x14ac:dyDescent="0.55000000000000004"/>
    <row r="163" x14ac:dyDescent="0.55000000000000004"/>
  </sheetData>
  <phoneticPr fontId="2"/>
  <dataValidations count="1">
    <dataValidation type="list" allowBlank="1" showInputMessage="1" showErrorMessage="1" sqref="F14" xr:uid="{6081DBAB-46CB-468E-97C0-6559570DFC5D}">
      <formula1>$O$14:$Q$14</formula1>
    </dataValidation>
  </dataValidations>
  <pageMargins left="0.23622047244094491" right="0.23622047244094491" top="0.74803149606299213" bottom="0.74803149606299213" header="0.31496062992125984" footer="0.31496062992125984"/>
  <pageSetup paperSize="8" scale="22" fitToHeight="0" orientation="landscape" r:id="rId1"/>
  <colBreaks count="2" manualBreakCount="2">
    <brk id="21" max="1048575" man="1"/>
    <brk id="5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971C6-E77E-428C-91E9-2AE45E91AD3F}">
  <sheetPr>
    <tabColor rgb="FFFFC000"/>
    <pageSetUpPr fitToPage="1"/>
  </sheetPr>
  <dimension ref="A1:DA180"/>
  <sheetViews>
    <sheetView showGridLines="0" view="pageBreakPreview" zoomScaleNormal="70" zoomScaleSheetLayoutView="100" workbookViewId="0">
      <selection activeCell="H20" sqref="H20"/>
    </sheetView>
  </sheetViews>
  <sheetFormatPr defaultColWidth="0" defaultRowHeight="16.5" zeroHeight="1" outlineLevelCol="1" x14ac:dyDescent="0.55000000000000004"/>
  <cols>
    <col min="1" max="1" width="4.83203125" style="21" customWidth="1"/>
    <col min="2" max="2" width="4.25" style="21" customWidth="1"/>
    <col min="3" max="3" width="40.08203125" style="21" customWidth="1"/>
    <col min="4" max="4" width="7.33203125" style="191" customWidth="1"/>
    <col min="5" max="6" width="14.08203125" style="21" customWidth="1"/>
    <col min="7" max="7" width="2.5" style="21" customWidth="1"/>
    <col min="8" max="8" width="43.75" style="21" customWidth="1"/>
    <col min="9" max="9" width="1.58203125" style="289" customWidth="1"/>
    <col min="10" max="10" width="4.25" style="21" customWidth="1" outlineLevel="1"/>
    <col min="11" max="11" width="12.5" style="119" customWidth="1" outlineLevel="1"/>
    <col min="12" max="12" width="1.83203125" style="21" customWidth="1" outlineLevel="1"/>
    <col min="13" max="13" width="30.83203125" style="21" customWidth="1" outlineLevel="1"/>
    <col min="14" max="14" width="11.25" style="191" customWidth="1" outlineLevel="1"/>
    <col min="15" max="16" width="14.08203125" style="21" customWidth="1" outlineLevel="1"/>
    <col min="17" max="17" width="4.75" style="21" customWidth="1" outlineLevel="1"/>
    <col min="18" max="18" width="10" style="21" customWidth="1" outlineLevel="1"/>
    <col min="19" max="19" width="19.25" style="21" customWidth="1" outlineLevel="1"/>
    <col min="20" max="20" width="7.5" style="21" customWidth="1" outlineLevel="1"/>
    <col min="21" max="21" width="24.5" style="21" customWidth="1" outlineLevel="1"/>
    <col min="22" max="22" width="12" style="21" customWidth="1"/>
    <col min="23" max="23" width="9.58203125" style="21" customWidth="1"/>
    <col min="24" max="24" width="21.5" style="21" customWidth="1"/>
    <col min="25" max="26" width="10.83203125" style="21" customWidth="1"/>
    <col min="27" max="36" width="10.83203125" style="22" customWidth="1"/>
    <col min="37" max="39" width="10.83203125" style="26" customWidth="1"/>
    <col min="40" max="40" width="1.58203125" style="26" customWidth="1"/>
    <col min="41" max="41" width="10.83203125" style="26" customWidth="1"/>
    <col min="42" max="56" width="10.83203125" style="22" customWidth="1"/>
    <col min="57" max="57" width="1.75" style="22" customWidth="1"/>
    <col min="58" max="58" width="10.83203125" style="26" customWidth="1"/>
    <col min="59" max="59" width="1.5" style="22" customWidth="1"/>
    <col min="60" max="74" width="10.83203125" style="22" customWidth="1"/>
    <col min="75" max="75" width="2.08203125" style="22" customWidth="1"/>
    <col min="76" max="76" width="3.33203125" style="22" hidden="1" customWidth="1"/>
    <col min="77" max="77" width="0" style="22" hidden="1" customWidth="1"/>
    <col min="78" max="89" width="0" style="21" hidden="1" customWidth="1"/>
    <col min="90" max="16384" width="9" style="21" hidden="1"/>
  </cols>
  <sheetData>
    <row r="1" spans="1:105" ht="15.75" customHeight="1" x14ac:dyDescent="0.55000000000000004"/>
    <row r="2" spans="1:105" ht="26" x14ac:dyDescent="0.55000000000000004">
      <c r="A2" s="207"/>
      <c r="B2" s="223"/>
      <c r="C2" s="310" t="s">
        <v>266</v>
      </c>
      <c r="I2" s="214"/>
      <c r="J2" s="223"/>
      <c r="T2" s="191"/>
      <c r="V2" s="289"/>
      <c r="W2" s="310" t="s">
        <v>267</v>
      </c>
      <c r="Y2" s="23"/>
      <c r="Z2" s="23"/>
      <c r="AA2" s="24"/>
      <c r="AB2" s="24"/>
      <c r="AC2" s="24"/>
      <c r="AD2" s="24"/>
      <c r="AE2" s="24"/>
      <c r="AF2" s="24"/>
      <c r="AG2" s="24"/>
      <c r="AH2" s="24"/>
      <c r="AI2" s="24"/>
      <c r="AJ2" s="24"/>
      <c r="AK2" s="24"/>
      <c r="AL2" s="24"/>
      <c r="AM2" s="25"/>
      <c r="AN2" s="25"/>
      <c r="AP2" s="25"/>
      <c r="AQ2" s="24"/>
      <c r="AR2" s="24"/>
      <c r="AS2" s="24"/>
      <c r="AT2" s="24"/>
      <c r="AU2" s="24"/>
      <c r="AV2" s="24"/>
      <c r="AW2" s="24"/>
      <c r="AX2" s="24"/>
      <c r="AY2" s="24"/>
      <c r="AZ2" s="24"/>
      <c r="BA2" s="24"/>
      <c r="BB2" s="24"/>
      <c r="BC2" s="24"/>
      <c r="BD2" s="24"/>
      <c r="BE2" s="24"/>
      <c r="BF2" s="24"/>
      <c r="BH2" s="26"/>
      <c r="BJ2" s="24"/>
      <c r="BK2" s="24"/>
      <c r="BL2" s="24"/>
      <c r="BM2" s="24"/>
      <c r="BN2" s="24"/>
      <c r="BO2" s="24"/>
      <c r="BP2" s="24"/>
      <c r="BQ2" s="24"/>
      <c r="BR2" s="24"/>
      <c r="BS2" s="24"/>
      <c r="BT2" s="24"/>
      <c r="BU2" s="24"/>
      <c r="BV2" s="24"/>
      <c r="BW2" s="24"/>
      <c r="BX2" s="24"/>
      <c r="BY2" s="24"/>
      <c r="BZ2" s="24"/>
      <c r="CA2" s="24"/>
      <c r="CB2" s="22"/>
      <c r="CC2" s="24"/>
      <c r="CD2" s="24"/>
      <c r="CE2" s="24"/>
      <c r="CF2" s="24"/>
      <c r="CG2" s="24"/>
      <c r="CH2" s="22"/>
      <c r="CI2" s="24"/>
      <c r="CJ2" s="24"/>
      <c r="CK2" s="22"/>
      <c r="CL2" s="22"/>
      <c r="CM2" s="22"/>
      <c r="CN2" s="22"/>
      <c r="CO2" s="22"/>
    </row>
    <row r="3" spans="1:105" ht="18" customHeight="1" x14ac:dyDescent="0.55000000000000004">
      <c r="A3" s="207"/>
      <c r="B3" s="223"/>
      <c r="C3" s="35" t="s">
        <v>78</v>
      </c>
      <c r="I3" s="214"/>
      <c r="J3" s="223"/>
      <c r="T3" s="191"/>
      <c r="V3" s="289"/>
      <c r="W3" s="310"/>
      <c r="Y3" s="23"/>
      <c r="Z3" s="23"/>
      <c r="AA3" s="24"/>
      <c r="AB3" s="24"/>
      <c r="AC3" s="24"/>
      <c r="AD3" s="24"/>
      <c r="AE3" s="24"/>
      <c r="AF3" s="24"/>
      <c r="AG3" s="24"/>
      <c r="AH3" s="24"/>
      <c r="AI3" s="24"/>
      <c r="AJ3" s="24"/>
      <c r="AK3" s="24"/>
      <c r="AL3" s="24"/>
      <c r="AM3" s="24"/>
      <c r="AN3" s="24"/>
      <c r="AO3" s="24"/>
      <c r="AP3" s="24"/>
      <c r="AQ3" s="24"/>
      <c r="AR3" s="24"/>
      <c r="AS3" s="25"/>
      <c r="AT3" s="25"/>
      <c r="AU3" s="26"/>
      <c r="AV3" s="25"/>
      <c r="AW3" s="24"/>
      <c r="AX3" s="24"/>
      <c r="AY3" s="24"/>
      <c r="AZ3" s="24"/>
      <c r="BA3" s="24"/>
      <c r="BB3" s="24"/>
      <c r="BC3" s="24"/>
      <c r="BD3" s="24"/>
      <c r="BE3" s="24"/>
      <c r="BF3" s="24"/>
      <c r="BG3" s="24"/>
      <c r="BH3" s="24"/>
      <c r="BI3" s="24"/>
      <c r="BJ3" s="24"/>
      <c r="BK3" s="24"/>
      <c r="BL3" s="24"/>
      <c r="BM3" s="24"/>
      <c r="BN3" s="24"/>
      <c r="BO3" s="24"/>
      <c r="BP3" s="24"/>
      <c r="BQ3" s="24"/>
      <c r="BR3" s="24"/>
      <c r="BT3" s="26"/>
      <c r="BV3" s="24"/>
      <c r="BW3" s="24"/>
      <c r="BX3" s="24"/>
      <c r="BY3" s="24"/>
      <c r="BZ3" s="24"/>
      <c r="CA3" s="24"/>
      <c r="CB3" s="24"/>
      <c r="CC3" s="24"/>
      <c r="CD3" s="24"/>
      <c r="CE3" s="24"/>
      <c r="CF3" s="24"/>
      <c r="CG3" s="24"/>
      <c r="CH3" s="24"/>
      <c r="CI3" s="24"/>
      <c r="CJ3" s="24"/>
      <c r="CK3" s="24"/>
      <c r="CL3" s="24"/>
      <c r="CM3" s="24"/>
      <c r="CN3" s="22"/>
      <c r="CO3" s="24"/>
      <c r="CP3" s="24"/>
      <c r="CQ3" s="24"/>
      <c r="CR3" s="24"/>
      <c r="CS3" s="24"/>
      <c r="CT3" s="22"/>
      <c r="CU3" s="24"/>
      <c r="CV3" s="24"/>
      <c r="CW3" s="22"/>
      <c r="CX3" s="22"/>
      <c r="CY3" s="22"/>
      <c r="CZ3" s="22"/>
      <c r="DA3" s="22"/>
    </row>
    <row r="4" spans="1:105" ht="18" customHeight="1" x14ac:dyDescent="0.45">
      <c r="A4" s="207"/>
      <c r="B4" s="223"/>
      <c r="C4" s="419" t="s">
        <v>79</v>
      </c>
      <c r="I4" s="214"/>
      <c r="J4" s="223"/>
      <c r="T4" s="191"/>
      <c r="V4" s="289"/>
      <c r="W4" s="310"/>
      <c r="Y4" s="23"/>
      <c r="Z4" s="23"/>
      <c r="AA4" s="24"/>
      <c r="AB4" s="24"/>
      <c r="AC4" s="24"/>
      <c r="AD4" s="24"/>
      <c r="AE4" s="24"/>
      <c r="AF4" s="24"/>
      <c r="AG4" s="24"/>
      <c r="AH4" s="24"/>
      <c r="AI4" s="24"/>
      <c r="AJ4" s="24"/>
      <c r="AK4" s="24"/>
      <c r="AL4" s="24"/>
      <c r="AM4" s="24"/>
      <c r="AN4" s="24"/>
      <c r="AO4" s="24"/>
      <c r="AP4" s="24"/>
      <c r="AQ4" s="24"/>
      <c r="AR4" s="24"/>
      <c r="AS4" s="25"/>
      <c r="AT4" s="25"/>
      <c r="AU4" s="26"/>
      <c r="AV4" s="25"/>
      <c r="AW4" s="24"/>
      <c r="AX4" s="24"/>
      <c r="AY4" s="24"/>
      <c r="AZ4" s="24"/>
      <c r="BA4" s="24"/>
      <c r="BB4" s="24"/>
      <c r="BC4" s="24"/>
      <c r="BD4" s="24"/>
      <c r="BE4" s="24"/>
      <c r="BF4" s="24"/>
      <c r="BG4" s="24"/>
      <c r="BH4" s="24"/>
      <c r="BI4" s="24"/>
      <c r="BJ4" s="24"/>
      <c r="BK4" s="24"/>
      <c r="BL4" s="24"/>
      <c r="BM4" s="24"/>
      <c r="BN4" s="24"/>
      <c r="BO4" s="24"/>
      <c r="BP4" s="24"/>
      <c r="BQ4" s="24"/>
      <c r="BR4" s="24"/>
      <c r="BT4" s="26"/>
      <c r="BV4" s="24"/>
      <c r="BW4" s="24"/>
      <c r="BX4" s="24"/>
      <c r="BY4" s="24"/>
      <c r="BZ4" s="24"/>
      <c r="CA4" s="24"/>
      <c r="CB4" s="24"/>
      <c r="CC4" s="24"/>
      <c r="CD4" s="24"/>
      <c r="CE4" s="24"/>
      <c r="CF4" s="24"/>
      <c r="CG4" s="24"/>
      <c r="CH4" s="24"/>
      <c r="CI4" s="24"/>
      <c r="CJ4" s="24"/>
      <c r="CK4" s="24"/>
      <c r="CL4" s="24"/>
      <c r="CM4" s="24"/>
      <c r="CN4" s="22"/>
      <c r="CO4" s="24"/>
      <c r="CP4" s="24"/>
      <c r="CQ4" s="24"/>
      <c r="CR4" s="24"/>
      <c r="CS4" s="24"/>
      <c r="CT4" s="22"/>
      <c r="CU4" s="24"/>
      <c r="CV4" s="24"/>
      <c r="CW4" s="22"/>
      <c r="CX4" s="22"/>
      <c r="CY4" s="22"/>
      <c r="CZ4" s="22"/>
      <c r="DA4" s="22"/>
    </row>
    <row r="5" spans="1:105" ht="18" customHeight="1" x14ac:dyDescent="0.45">
      <c r="A5" s="207"/>
      <c r="B5" s="223"/>
      <c r="C5" s="382" t="s">
        <v>80</v>
      </c>
      <c r="I5" s="214"/>
      <c r="J5" s="223"/>
      <c r="T5" s="191"/>
      <c r="V5" s="289"/>
      <c r="W5" s="310"/>
      <c r="Y5" s="23"/>
      <c r="Z5" s="23"/>
      <c r="AA5" s="24"/>
      <c r="AB5" s="24"/>
      <c r="AC5" s="24"/>
      <c r="AD5" s="24"/>
      <c r="AE5" s="24"/>
      <c r="AF5" s="24"/>
      <c r="AG5" s="24"/>
      <c r="AH5" s="24"/>
      <c r="AI5" s="24"/>
      <c r="AJ5" s="24"/>
      <c r="AK5" s="24"/>
      <c r="AL5" s="24"/>
      <c r="AM5" s="24"/>
      <c r="AN5" s="24"/>
      <c r="AO5" s="24"/>
      <c r="AP5" s="24"/>
      <c r="AQ5" s="24"/>
      <c r="AR5" s="24"/>
      <c r="AS5" s="25"/>
      <c r="AT5" s="25"/>
      <c r="AU5" s="26"/>
      <c r="AV5" s="25"/>
      <c r="AW5" s="24"/>
      <c r="AX5" s="24"/>
      <c r="AY5" s="24"/>
      <c r="AZ5" s="24"/>
      <c r="BA5" s="24"/>
      <c r="BB5" s="24"/>
      <c r="BC5" s="24"/>
      <c r="BD5" s="24"/>
      <c r="BE5" s="24"/>
      <c r="BF5" s="24"/>
      <c r="BG5" s="24"/>
      <c r="BH5" s="24"/>
      <c r="BI5" s="24"/>
      <c r="BJ5" s="24"/>
      <c r="BK5" s="24"/>
      <c r="BL5" s="24"/>
      <c r="BM5" s="24"/>
      <c r="BN5" s="24"/>
      <c r="BO5" s="24"/>
      <c r="BP5" s="24"/>
      <c r="BQ5" s="24"/>
      <c r="BR5" s="24"/>
      <c r="BT5" s="26"/>
      <c r="BV5" s="24"/>
      <c r="BW5" s="24"/>
      <c r="BX5" s="24"/>
      <c r="BY5" s="24"/>
      <c r="BZ5" s="24"/>
      <c r="CA5" s="24"/>
      <c r="CB5" s="24"/>
      <c r="CC5" s="24"/>
      <c r="CD5" s="24"/>
      <c r="CE5" s="24"/>
      <c r="CF5" s="24"/>
      <c r="CG5" s="24"/>
      <c r="CH5" s="24"/>
      <c r="CI5" s="24"/>
      <c r="CJ5" s="24"/>
      <c r="CK5" s="24"/>
      <c r="CL5" s="24"/>
      <c r="CM5" s="24"/>
      <c r="CN5" s="22"/>
      <c r="CO5" s="24"/>
      <c r="CP5" s="24"/>
      <c r="CQ5" s="24"/>
      <c r="CR5" s="24"/>
      <c r="CS5" s="24"/>
      <c r="CT5" s="22"/>
      <c r="CU5" s="24"/>
      <c r="CV5" s="24"/>
      <c r="CW5" s="22"/>
      <c r="CX5" s="22"/>
      <c r="CY5" s="22"/>
      <c r="CZ5" s="22"/>
      <c r="DA5" s="22"/>
    </row>
    <row r="6" spans="1:105" ht="18" customHeight="1" x14ac:dyDescent="0.45">
      <c r="A6" s="207"/>
      <c r="B6" s="223"/>
      <c r="C6" s="420" t="s">
        <v>81</v>
      </c>
      <c r="I6" s="214"/>
      <c r="J6" s="223"/>
      <c r="T6" s="191"/>
      <c r="V6" s="289"/>
      <c r="W6" s="310"/>
      <c r="Y6" s="23"/>
      <c r="Z6" s="23"/>
      <c r="AA6" s="24"/>
      <c r="AB6" s="24"/>
      <c r="AC6" s="24"/>
      <c r="AD6" s="24"/>
      <c r="AE6" s="24"/>
      <c r="AF6" s="24"/>
      <c r="AG6" s="24"/>
      <c r="AH6" s="24"/>
      <c r="AI6" s="24"/>
      <c r="AJ6" s="24"/>
      <c r="AK6" s="24"/>
      <c r="AL6" s="24"/>
      <c r="AM6" s="24"/>
      <c r="AN6" s="24"/>
      <c r="AO6" s="24"/>
      <c r="AP6" s="24"/>
      <c r="AQ6" s="24"/>
      <c r="AR6" s="24"/>
      <c r="AS6" s="25"/>
      <c r="AT6" s="25"/>
      <c r="AU6" s="26"/>
      <c r="AV6" s="25"/>
      <c r="AW6" s="24"/>
      <c r="AX6" s="24"/>
      <c r="AY6" s="24"/>
      <c r="AZ6" s="24"/>
      <c r="BA6" s="24"/>
      <c r="BB6" s="24"/>
      <c r="BC6" s="24"/>
      <c r="BD6" s="24"/>
      <c r="BE6" s="24"/>
      <c r="BF6" s="24"/>
      <c r="BG6" s="24"/>
      <c r="BH6" s="24"/>
      <c r="BI6" s="24"/>
      <c r="BJ6" s="24"/>
      <c r="BK6" s="24"/>
      <c r="BL6" s="24"/>
      <c r="BM6" s="24"/>
      <c r="BN6" s="24"/>
      <c r="BO6" s="24"/>
      <c r="BP6" s="24"/>
      <c r="BQ6" s="24"/>
      <c r="BR6" s="24"/>
      <c r="BT6" s="26"/>
      <c r="BV6" s="24"/>
      <c r="BW6" s="24"/>
      <c r="BX6" s="24"/>
      <c r="BY6" s="24"/>
      <c r="BZ6" s="24"/>
      <c r="CA6" s="24"/>
      <c r="CB6" s="24"/>
      <c r="CC6" s="24"/>
      <c r="CD6" s="24"/>
      <c r="CE6" s="24"/>
      <c r="CF6" s="24"/>
      <c r="CG6" s="24"/>
      <c r="CH6" s="24"/>
      <c r="CI6" s="24"/>
      <c r="CJ6" s="24"/>
      <c r="CK6" s="24"/>
      <c r="CL6" s="24"/>
      <c r="CM6" s="24"/>
      <c r="CN6" s="22"/>
      <c r="CO6" s="24"/>
      <c r="CP6" s="24"/>
      <c r="CQ6" s="24"/>
      <c r="CR6" s="24"/>
      <c r="CS6" s="24"/>
      <c r="CT6" s="22"/>
      <c r="CU6" s="24"/>
      <c r="CV6" s="24"/>
      <c r="CW6" s="22"/>
      <c r="CX6" s="22"/>
      <c r="CY6" s="22"/>
      <c r="CZ6" s="22"/>
      <c r="DA6" s="22"/>
    </row>
    <row r="7" spans="1:105" ht="15.75" customHeight="1" x14ac:dyDescent="0.55000000000000004"/>
    <row r="8" spans="1:105" s="35" customFormat="1" ht="15.75" customHeight="1" x14ac:dyDescent="0.55000000000000004">
      <c r="A8" s="27" t="s">
        <v>82</v>
      </c>
      <c r="B8" s="27"/>
      <c r="C8" s="27"/>
      <c r="D8" s="195"/>
      <c r="E8" s="27"/>
      <c r="F8" s="27"/>
      <c r="G8" s="27"/>
      <c r="H8" s="27"/>
      <c r="I8" s="336"/>
      <c r="J8" s="28" t="s">
        <v>83</v>
      </c>
      <c r="K8" s="343"/>
      <c r="L8" s="28"/>
      <c r="M8" s="28"/>
      <c r="N8" s="192"/>
      <c r="O8" s="28"/>
      <c r="P8" s="28"/>
      <c r="Q8" s="28"/>
      <c r="R8" s="28"/>
      <c r="S8" s="28"/>
      <c r="T8" s="28"/>
      <c r="U8" s="28"/>
      <c r="V8" s="29" t="s">
        <v>84</v>
      </c>
      <c r="W8" s="29"/>
      <c r="X8" s="29"/>
      <c r="Y8" s="29"/>
      <c r="Z8" s="29"/>
      <c r="AA8" s="34"/>
      <c r="AB8" s="34"/>
      <c r="AC8" s="34"/>
      <c r="AD8" s="34"/>
      <c r="AE8" s="34"/>
      <c r="AF8" s="34"/>
      <c r="AG8" s="34"/>
      <c r="AH8" s="34"/>
      <c r="AI8" s="34"/>
      <c r="AJ8" s="34"/>
      <c r="AK8" s="33"/>
      <c r="AL8" s="33"/>
      <c r="AM8" s="33"/>
      <c r="AN8" s="33"/>
      <c r="AO8" s="33"/>
      <c r="AP8" s="34"/>
      <c r="AQ8" s="34"/>
      <c r="AR8" s="34"/>
      <c r="AS8" s="34"/>
      <c r="AT8" s="34"/>
      <c r="AU8" s="34"/>
      <c r="AV8" s="34"/>
      <c r="AW8" s="34"/>
      <c r="AX8" s="34"/>
      <c r="AY8" s="34"/>
      <c r="AZ8" s="34"/>
      <c r="BA8" s="34"/>
      <c r="BB8" s="34"/>
      <c r="BC8" s="34"/>
      <c r="BD8" s="34"/>
      <c r="BE8" s="34"/>
      <c r="BF8" s="33"/>
      <c r="BG8" s="34"/>
      <c r="BH8" s="34"/>
      <c r="BI8" s="34"/>
      <c r="BJ8" s="34"/>
      <c r="BK8" s="34"/>
      <c r="BL8" s="34"/>
      <c r="BM8" s="34"/>
      <c r="BN8" s="34"/>
      <c r="BO8" s="34"/>
      <c r="BP8" s="34"/>
      <c r="BQ8" s="34"/>
      <c r="BR8" s="34"/>
      <c r="BS8" s="34"/>
      <c r="BT8" s="34"/>
      <c r="BU8" s="34"/>
      <c r="BV8" s="34"/>
      <c r="BW8" s="34"/>
      <c r="BX8" s="34"/>
      <c r="BY8" s="34"/>
    </row>
    <row r="9" spans="1:105" s="35" customFormat="1" ht="15.75" customHeight="1" x14ac:dyDescent="0.55000000000000004">
      <c r="A9" s="36"/>
      <c r="B9" s="344" t="s">
        <v>85</v>
      </c>
      <c r="C9" s="36"/>
      <c r="D9" s="196"/>
      <c r="E9" s="36"/>
      <c r="F9" s="36"/>
      <c r="G9" s="36"/>
      <c r="H9" s="36"/>
      <c r="I9" s="330"/>
      <c r="K9" s="312"/>
      <c r="N9" s="193"/>
      <c r="AA9" s="37"/>
      <c r="AB9" s="37"/>
      <c r="AC9" s="37"/>
      <c r="AD9" s="37"/>
      <c r="AE9" s="37"/>
      <c r="AF9" s="37"/>
      <c r="AG9" s="37"/>
      <c r="AH9" s="37"/>
      <c r="AI9" s="37"/>
      <c r="AJ9" s="37"/>
      <c r="AK9" s="41"/>
      <c r="AL9" s="41"/>
      <c r="AM9" s="41"/>
      <c r="AN9" s="41"/>
      <c r="AO9" s="41"/>
      <c r="AP9" s="37"/>
      <c r="AQ9" s="37"/>
      <c r="AR9" s="37"/>
      <c r="AS9" s="37"/>
      <c r="AT9" s="37"/>
      <c r="AU9" s="37"/>
      <c r="AV9" s="37"/>
      <c r="AW9" s="37"/>
      <c r="AX9" s="37"/>
      <c r="AY9" s="37"/>
      <c r="AZ9" s="37"/>
      <c r="BA9" s="37"/>
      <c r="BB9" s="37"/>
      <c r="BC9" s="37"/>
      <c r="BD9" s="37"/>
      <c r="BE9" s="37"/>
      <c r="BF9" s="41"/>
      <c r="BG9" s="37"/>
      <c r="BH9" s="37"/>
      <c r="BI9" s="37"/>
      <c r="BJ9" s="37"/>
      <c r="BK9" s="37"/>
      <c r="BL9" s="37"/>
      <c r="BM9" s="37"/>
      <c r="BN9" s="37"/>
      <c r="BO9" s="37"/>
      <c r="BP9" s="37"/>
      <c r="BQ9" s="37"/>
      <c r="BR9" s="37"/>
      <c r="BS9" s="37"/>
      <c r="BT9" s="37"/>
      <c r="BU9" s="37"/>
      <c r="BV9" s="37"/>
      <c r="BW9" s="37"/>
      <c r="BX9" s="37"/>
      <c r="BY9" s="37"/>
    </row>
    <row r="10" spans="1:105" ht="15.75" customHeight="1" thickBot="1" x14ac:dyDescent="0.6">
      <c r="W10" s="439" t="s">
        <v>48</v>
      </c>
      <c r="X10" s="439"/>
      <c r="Y10" s="440"/>
      <c r="AC10" s="345" t="s">
        <v>86</v>
      </c>
    </row>
    <row r="11" spans="1:105" ht="15.75" customHeight="1" x14ac:dyDescent="0.55000000000000004">
      <c r="A11" s="207"/>
      <c r="B11" s="223"/>
      <c r="C11" s="35"/>
      <c r="D11" s="193" t="s">
        <v>87</v>
      </c>
      <c r="E11" s="35" t="s">
        <v>55</v>
      </c>
      <c r="F11" s="35" t="s">
        <v>88</v>
      </c>
      <c r="G11" s="35" t="s">
        <v>89</v>
      </c>
      <c r="H11" s="35"/>
      <c r="I11" s="214"/>
      <c r="J11" s="223"/>
      <c r="K11" s="312"/>
      <c r="L11" s="37"/>
      <c r="M11" s="37"/>
      <c r="N11" s="193" t="s">
        <v>87</v>
      </c>
      <c r="O11" s="35" t="s">
        <v>55</v>
      </c>
      <c r="P11" s="35" t="s">
        <v>88</v>
      </c>
      <c r="Q11" s="35" t="s">
        <v>89</v>
      </c>
      <c r="R11" s="22"/>
      <c r="S11" s="22"/>
      <c r="T11" s="191"/>
      <c r="U11" s="22"/>
      <c r="W11" s="46" t="s">
        <v>48</v>
      </c>
      <c r="X11" s="200" t="s">
        <v>90</v>
      </c>
      <c r="Y11" s="47" t="s">
        <v>25</v>
      </c>
      <c r="AC11" s="346" t="s">
        <v>52</v>
      </c>
      <c r="BQ11" s="37"/>
      <c r="BR11" s="37"/>
      <c r="BS11" s="37"/>
      <c r="BT11" s="37"/>
    </row>
    <row r="12" spans="1:105" ht="15.75" customHeight="1" thickBot="1" x14ac:dyDescent="0.6">
      <c r="A12" s="210" t="s">
        <v>91</v>
      </c>
      <c r="B12" s="225"/>
      <c r="C12" s="202"/>
      <c r="D12" s="203"/>
      <c r="E12" s="202"/>
      <c r="F12" s="202"/>
      <c r="G12" s="202"/>
      <c r="H12" s="202"/>
      <c r="I12" s="217" t="s">
        <v>91</v>
      </c>
      <c r="J12" s="225"/>
      <c r="K12" s="338"/>
      <c r="L12" s="202"/>
      <c r="M12" s="202"/>
      <c r="N12" s="203"/>
      <c r="O12" s="202"/>
      <c r="P12" s="202"/>
      <c r="Q12" s="202"/>
      <c r="R12" s="202"/>
      <c r="S12" s="202"/>
      <c r="T12" s="203"/>
      <c r="U12" s="202"/>
      <c r="W12" s="49">
        <f>AL49-BC49</f>
        <v>29.999999999999545</v>
      </c>
      <c r="X12" s="50">
        <f>AM49-BD49</f>
        <v>27.946941942447665</v>
      </c>
      <c r="Y12" s="347">
        <f>X12/AM49</f>
        <v>-2.0859549862965784E-2</v>
      </c>
      <c r="AC12" s="348" t="str">
        <f>IFERROR(XIRR(BV18:BV49,V18:V49),"N/A")</f>
        <v>N/A</v>
      </c>
      <c r="AD12" s="119" t="s">
        <v>92</v>
      </c>
      <c r="BQ12" s="37"/>
      <c r="BR12" s="37"/>
      <c r="BS12" s="37"/>
      <c r="BT12" s="37"/>
    </row>
    <row r="13" spans="1:105" ht="15.75" customHeight="1" x14ac:dyDescent="0.55000000000000004">
      <c r="AA13" s="21"/>
      <c r="AB13" s="21"/>
      <c r="AC13" s="119"/>
      <c r="AD13" s="21"/>
    </row>
    <row r="14" spans="1:105" ht="15.75" customHeight="1" x14ac:dyDescent="0.45">
      <c r="B14" s="223" t="s">
        <v>93</v>
      </c>
      <c r="C14" s="206"/>
      <c r="D14" s="191" t="s">
        <v>102</v>
      </c>
      <c r="F14" s="149" t="s">
        <v>94</v>
      </c>
      <c r="O14" s="21" t="s">
        <v>95</v>
      </c>
      <c r="P14" s="21" t="s">
        <v>96</v>
      </c>
      <c r="Q14" s="21" t="s">
        <v>94</v>
      </c>
      <c r="V14" s="289"/>
      <c r="Y14" s="53" t="s">
        <v>55</v>
      </c>
      <c r="Z14" s="54"/>
      <c r="AA14" s="54"/>
      <c r="AB14" s="54"/>
      <c r="AC14" s="54"/>
      <c r="AD14" s="54"/>
      <c r="AE14" s="54"/>
      <c r="AF14" s="54"/>
      <c r="AG14" s="54"/>
      <c r="AH14" s="54"/>
      <c r="AI14" s="54"/>
      <c r="AJ14" s="55"/>
      <c r="AK14" s="56" t="s">
        <v>97</v>
      </c>
      <c r="AL14" s="57"/>
      <c r="AM14" s="58"/>
      <c r="AN14" s="39"/>
      <c r="AO14" s="59" t="s">
        <v>98</v>
      </c>
      <c r="AP14" s="60"/>
      <c r="AQ14" s="60"/>
      <c r="AR14" s="60"/>
      <c r="AS14" s="60"/>
      <c r="AT14" s="60"/>
      <c r="AU14" s="60"/>
      <c r="AV14" s="60"/>
      <c r="AW14" s="60"/>
      <c r="AX14" s="60"/>
      <c r="AY14" s="60"/>
      <c r="AZ14" s="60"/>
      <c r="BA14" s="60"/>
      <c r="BB14" s="60"/>
      <c r="BC14" s="61"/>
      <c r="BD14" s="61" t="s">
        <v>50</v>
      </c>
      <c r="BE14" s="24"/>
      <c r="BF14" s="22"/>
      <c r="BH14" s="62" t="s">
        <v>99</v>
      </c>
      <c r="BI14" s="63"/>
      <c r="BJ14" s="63"/>
      <c r="BK14" s="63"/>
      <c r="BL14" s="63"/>
      <c r="BM14" s="63"/>
      <c r="BN14" s="63"/>
      <c r="BO14" s="63"/>
      <c r="BP14" s="63"/>
      <c r="BQ14" s="63"/>
      <c r="BR14" s="63"/>
      <c r="BS14" s="63"/>
      <c r="BT14" s="63"/>
      <c r="BU14" s="63"/>
      <c r="BV14" s="64"/>
      <c r="BX14" s="65" t="s">
        <v>100</v>
      </c>
      <c r="BY14" s="45"/>
    </row>
    <row r="15" spans="1:105" ht="15.75" customHeight="1" x14ac:dyDescent="0.45">
      <c r="B15" s="223" t="s">
        <v>101</v>
      </c>
      <c r="D15" s="191" t="s">
        <v>102</v>
      </c>
      <c r="F15" s="329" t="s">
        <v>268</v>
      </c>
      <c r="V15" s="289"/>
      <c r="Y15" s="53" t="s">
        <v>104</v>
      </c>
      <c r="Z15" s="54"/>
      <c r="AA15" s="54"/>
      <c r="AB15" s="54"/>
      <c r="AC15" s="66"/>
      <c r="AD15" s="53" t="s">
        <v>105</v>
      </c>
      <c r="AE15" s="54"/>
      <c r="AF15" s="54"/>
      <c r="AG15" s="54"/>
      <c r="AH15" s="54"/>
      <c r="AI15" s="67"/>
      <c r="AJ15" s="353" t="s">
        <v>50</v>
      </c>
      <c r="AK15" s="58"/>
      <c r="AL15" s="68"/>
      <c r="AM15" s="69" t="s">
        <v>50</v>
      </c>
      <c r="AN15" s="39"/>
      <c r="AO15" s="59" t="s">
        <v>104</v>
      </c>
      <c r="AP15" s="60"/>
      <c r="AQ15" s="60"/>
      <c r="AR15" s="60"/>
      <c r="AS15" s="70"/>
      <c r="AT15" s="60" t="s">
        <v>105</v>
      </c>
      <c r="AU15" s="60"/>
      <c r="AV15" s="60"/>
      <c r="AW15" s="60"/>
      <c r="AX15" s="60"/>
      <c r="AY15" s="60"/>
      <c r="AZ15" s="60"/>
      <c r="BA15" s="60"/>
      <c r="BB15" s="70"/>
      <c r="BC15" s="71" t="s">
        <v>50</v>
      </c>
      <c r="BD15" s="71" t="s">
        <v>106</v>
      </c>
      <c r="BE15" s="24"/>
      <c r="BF15" s="22"/>
      <c r="BH15" s="62" t="s">
        <v>104</v>
      </c>
      <c r="BI15" s="63"/>
      <c r="BJ15" s="63"/>
      <c r="BK15" s="63"/>
      <c r="BL15" s="63"/>
      <c r="BM15" s="63"/>
      <c r="BN15" s="72"/>
      <c r="BO15" s="62" t="s">
        <v>105</v>
      </c>
      <c r="BP15" s="63"/>
      <c r="BQ15" s="63"/>
      <c r="BR15" s="63"/>
      <c r="BS15" s="63"/>
      <c r="BT15" s="63"/>
      <c r="BU15" s="72"/>
      <c r="BV15" s="74"/>
      <c r="BX15" s="74"/>
      <c r="BY15" s="354" t="s">
        <v>107</v>
      </c>
    </row>
    <row r="16" spans="1:105" s="23" customFormat="1" ht="49.5" x14ac:dyDescent="0.45">
      <c r="B16" s="223"/>
      <c r="C16" s="21"/>
      <c r="D16" s="191"/>
      <c r="I16" s="355"/>
      <c r="K16" s="52"/>
      <c r="N16" s="411"/>
      <c r="V16" s="500" t="s">
        <v>108</v>
      </c>
      <c r="W16" s="501" t="s">
        <v>109</v>
      </c>
      <c r="X16" s="501" t="s">
        <v>13</v>
      </c>
      <c r="Y16" s="75" t="s">
        <v>110</v>
      </c>
      <c r="Z16" s="76" t="s">
        <v>111</v>
      </c>
      <c r="AA16" s="76" t="s">
        <v>112</v>
      </c>
      <c r="AB16" s="76" t="s">
        <v>113</v>
      </c>
      <c r="AC16" s="77" t="s">
        <v>114</v>
      </c>
      <c r="AD16" s="75" t="s">
        <v>115</v>
      </c>
      <c r="AE16" s="76" t="s">
        <v>116</v>
      </c>
      <c r="AF16" s="76" t="s">
        <v>117</v>
      </c>
      <c r="AG16" s="76" t="s">
        <v>118</v>
      </c>
      <c r="AH16" s="76" t="s">
        <v>119</v>
      </c>
      <c r="AI16" s="78" t="s">
        <v>120</v>
      </c>
      <c r="AJ16" s="79"/>
      <c r="AK16" s="356" t="s">
        <v>121</v>
      </c>
      <c r="AL16" s="78" t="s">
        <v>68</v>
      </c>
      <c r="AM16" s="80" t="s">
        <v>106</v>
      </c>
      <c r="AN16" s="39"/>
      <c r="AO16" s="81" t="s">
        <v>110</v>
      </c>
      <c r="AP16" s="82" t="s">
        <v>111</v>
      </c>
      <c r="AQ16" s="82" t="s">
        <v>112</v>
      </c>
      <c r="AR16" s="82" t="s">
        <v>122</v>
      </c>
      <c r="AS16" s="83" t="s">
        <v>114</v>
      </c>
      <c r="AT16" s="82" t="s">
        <v>123</v>
      </c>
      <c r="AU16" s="82" t="s">
        <v>124</v>
      </c>
      <c r="AV16" s="82" t="s">
        <v>125</v>
      </c>
      <c r="AW16" s="82" t="s">
        <v>126</v>
      </c>
      <c r="AX16" s="82" t="s">
        <v>127</v>
      </c>
      <c r="AY16" s="82" t="s">
        <v>128</v>
      </c>
      <c r="AZ16" s="82" t="s">
        <v>118</v>
      </c>
      <c r="BA16" s="82" t="s">
        <v>119</v>
      </c>
      <c r="BB16" s="83" t="s">
        <v>120</v>
      </c>
      <c r="BC16" s="84"/>
      <c r="BD16" s="83"/>
      <c r="BE16" s="24"/>
      <c r="BF16" s="85" t="s">
        <v>129</v>
      </c>
      <c r="BG16" s="24"/>
      <c r="BH16" s="86" t="s">
        <v>130</v>
      </c>
      <c r="BI16" s="87" t="s">
        <v>124</v>
      </c>
      <c r="BJ16" s="87" t="s">
        <v>125</v>
      </c>
      <c r="BK16" s="87" t="s">
        <v>126</v>
      </c>
      <c r="BL16" s="87" t="s">
        <v>128</v>
      </c>
      <c r="BM16" s="87" t="s">
        <v>113</v>
      </c>
      <c r="BN16" s="88" t="s">
        <v>114</v>
      </c>
      <c r="BO16" s="87" t="s">
        <v>131</v>
      </c>
      <c r="BP16" s="87" t="s">
        <v>132</v>
      </c>
      <c r="BQ16" s="87" t="s">
        <v>133</v>
      </c>
      <c r="BR16" s="87" t="s">
        <v>134</v>
      </c>
      <c r="BS16" s="87" t="s">
        <v>135</v>
      </c>
      <c r="BT16" s="87" t="s">
        <v>136</v>
      </c>
      <c r="BU16" s="87" t="s">
        <v>120</v>
      </c>
      <c r="BV16" s="89" t="s">
        <v>137</v>
      </c>
      <c r="BW16" s="22"/>
      <c r="BX16" s="89"/>
      <c r="BY16" s="90">
        <f>IF(SUM(BY18:BY47)=0,0,1)</f>
        <v>0</v>
      </c>
    </row>
    <row r="17" spans="1:77" ht="15.75" customHeight="1" x14ac:dyDescent="0.55000000000000004">
      <c r="B17" s="223" t="s">
        <v>138</v>
      </c>
      <c r="N17" s="191" t="s">
        <v>14</v>
      </c>
      <c r="O17" s="91">
        <f>SUM(F18:F19)</f>
        <v>3</v>
      </c>
      <c r="V17" s="293"/>
      <c r="W17" s="301">
        <v>0</v>
      </c>
      <c r="X17" s="302" t="s">
        <v>140</v>
      </c>
      <c r="Y17" s="93"/>
      <c r="Z17" s="94"/>
      <c r="AA17" s="94"/>
      <c r="AB17" s="94"/>
      <c r="AC17" s="94"/>
      <c r="AD17" s="94"/>
      <c r="AE17" s="94"/>
      <c r="AF17" s="94"/>
      <c r="AG17" s="94"/>
      <c r="AH17" s="94"/>
      <c r="AI17" s="94"/>
      <c r="AJ17" s="94"/>
      <c r="AK17" s="94"/>
      <c r="AL17" s="96">
        <f>-SUM(O142,SUM(O136:O138))</f>
        <v>0</v>
      </c>
      <c r="AM17" s="97">
        <f>AL17*BF17</f>
        <v>0</v>
      </c>
      <c r="AN17" s="98"/>
      <c r="AO17" s="99"/>
      <c r="AP17" s="94"/>
      <c r="AQ17" s="94"/>
      <c r="AR17" s="94"/>
      <c r="AS17" s="94"/>
      <c r="AT17" s="94"/>
      <c r="AU17" s="94"/>
      <c r="AV17" s="94"/>
      <c r="AW17" s="94"/>
      <c r="AX17" s="360"/>
      <c r="AY17" s="94"/>
      <c r="AZ17" s="94"/>
      <c r="BA17" s="94"/>
      <c r="BB17" s="94"/>
      <c r="BC17" s="94"/>
      <c r="BD17" s="100"/>
      <c r="BE17" s="26"/>
      <c r="BF17" s="180">
        <v>1</v>
      </c>
      <c r="BH17" s="101"/>
      <c r="BI17" s="102"/>
      <c r="BJ17" s="102"/>
      <c r="BK17" s="102"/>
      <c r="BL17" s="102"/>
      <c r="BM17" s="102"/>
      <c r="BN17" s="102"/>
      <c r="BO17" s="102"/>
      <c r="BP17" s="102"/>
      <c r="BQ17" s="102"/>
      <c r="BR17" s="102"/>
      <c r="BS17" s="102"/>
      <c r="BT17" s="102"/>
      <c r="BU17" s="102"/>
      <c r="BV17" s="102"/>
      <c r="BW17" s="98"/>
      <c r="BX17" s="103"/>
      <c r="BY17" s="104"/>
    </row>
    <row r="18" spans="1:77" ht="15.75" customHeight="1" x14ac:dyDescent="0.45">
      <c r="B18" s="223"/>
      <c r="C18" s="21" t="s">
        <v>15</v>
      </c>
      <c r="D18" s="191" t="s">
        <v>14</v>
      </c>
      <c r="F18" s="150">
        <v>3</v>
      </c>
      <c r="V18" s="294">
        <f>IF(W18=1,DATE(YEAR($F$20)+(MONTH($F$20)&gt;=4),4,0),EOMONTH(V17,12))</f>
        <v>46477</v>
      </c>
      <c r="W18" s="366">
        <f>W17+1</f>
        <v>1</v>
      </c>
      <c r="X18" s="366" t="str">
        <f>IF(W18&lt;=$F$18,$C$18,IF(W18&gt;SUM($F$18:$F$19),"-",$C$19))</f>
        <v>整備期間</v>
      </c>
      <c r="Y18" s="106">
        <f t="shared" ref="Y18:Y47" si="0">IF($W18=$F$18,$O$78,0)</f>
        <v>0</v>
      </c>
      <c r="Z18" s="107">
        <f t="shared" ref="Z18:Z47" si="1">IF($W18=$F$18,$O$80,0)</f>
        <v>0</v>
      </c>
      <c r="AA18" s="107">
        <f t="shared" ref="AA18:AA47" si="2">IF($W18=$F$18,$O$79,0)</f>
        <v>0</v>
      </c>
      <c r="AB18" s="107">
        <f t="shared" ref="AB18:AB47" si="3">IF($X18="維持管理・運営期間",$F$72,0)</f>
        <v>0</v>
      </c>
      <c r="AC18" s="108">
        <f>SUM(Y18:AB18)</f>
        <v>0</v>
      </c>
      <c r="AD18" s="106">
        <f t="shared" ref="AD18:AD36" si="4">IF($W18=$F$18,$O$33,0)</f>
        <v>0</v>
      </c>
      <c r="AE18" s="107">
        <f t="shared" ref="AE18:AE47" si="5">IF($X18="維持管理・運営期間",$O$46,0)</f>
        <v>0</v>
      </c>
      <c r="AF18" s="107">
        <f>IF($X18=$C$18, $E$52, 0)+IF($X18=$C$19, $E$53, 0)</f>
        <v>0</v>
      </c>
      <c r="AG18" s="368">
        <f>IF(AND($W18&gt;$O$83, SUM($AA$17:AA17)&gt;0,SUM($AG$17:AG17)&lt;$O$79),$O$82,0)</f>
        <v>0</v>
      </c>
      <c r="AH18" s="107">
        <f>IF(SUM($AA17:$AA$18)&gt;0,($O$79-SUM($AG17:$AG$18))*$F$83,0)</f>
        <v>0</v>
      </c>
      <c r="AI18" s="108">
        <f>SUM(AD18:AH18)</f>
        <v>0</v>
      </c>
      <c r="AJ18" s="107">
        <f t="shared" ref="AJ18:AJ36" si="6">AC18-AI18</f>
        <v>0</v>
      </c>
      <c r="AK18" s="115">
        <f>-MIN(0, AH18-BQ18)</f>
        <v>0</v>
      </c>
      <c r="AL18" s="109"/>
      <c r="AM18" s="108">
        <f t="shared" ref="AM18:AM36" si="7">AJ18*$BF18</f>
        <v>0</v>
      </c>
      <c r="AN18" s="110"/>
      <c r="AO18" s="106">
        <f t="shared" ref="AO18:AO47" si="8">IF($W18=$F$18,$P$78,0)</f>
        <v>0</v>
      </c>
      <c r="AP18" s="107">
        <f t="shared" ref="AP18:AP47" si="9">IF($W18=$F$18,$P$80,0)</f>
        <v>0</v>
      </c>
      <c r="AQ18" s="107">
        <f t="shared" ref="AQ18:AQ47" si="10">IF($W18=$F$18,$P$79,0)</f>
        <v>0</v>
      </c>
      <c r="AR18" s="107">
        <f t="shared" ref="AR18:AR47" si="11">IF($W18="-",0,IF($W18&lt;=$F$18,$P$129,IF($W18=$F$18+1,$P$130,$P$131)))</f>
        <v>0</v>
      </c>
      <c r="AS18" s="108">
        <f>SUM(AO18:AR18)</f>
        <v>0</v>
      </c>
      <c r="AT18" s="107">
        <f t="shared" ref="AT18:AT36" si="12">IF(W18=$F$18,$P$33,0)</f>
        <v>0</v>
      </c>
      <c r="AU18" s="107">
        <f t="shared" ref="AU18:AU47" si="13">IFERROR(-PPMT($P$40,W18-$F$18,$F$19,SUM(P$34,P$59)),0)</f>
        <v>0</v>
      </c>
      <c r="AV18" s="107">
        <f t="shared" ref="AV18:AV47" si="14">IFERROR(-IPMT($P$40,W18-$F$18,$F$19,SUM($P$34,$P$59)),0)</f>
        <v>0</v>
      </c>
      <c r="AW18" s="107">
        <f t="shared" ref="AW18:AW47" si="15">IF(AND(W18&gt;$F$18,W18&lt;=SUM($F$18:$F$19)),$P$48,0)</f>
        <v>0</v>
      </c>
      <c r="AX18" s="368">
        <f>IF($X18=$C$18, $F$52, 0)+IF($X18=$C$19, $F$53, 0)</f>
        <v>10</v>
      </c>
      <c r="AY18" s="107">
        <f t="shared" ref="AY18:AY47" si="16">IF(AND(W18&gt;$F$18,W18&lt;=SUM($F$18:$F$19)),$P$62,0)</f>
        <v>0</v>
      </c>
      <c r="AZ18" s="368">
        <f>IF(AND($W18&gt;$P$83, SUM($AQ$17:AQ17)&gt;0,SUM($AZ$17:AZ17)&lt;$P$79),$P$82,0)</f>
        <v>0</v>
      </c>
      <c r="BA18" s="107">
        <f>IF(SUM($AQ17:$AQ$18)&gt;0,($P$79-SUM($AZ17:$AZ$18))*$F$83,0)</f>
        <v>0</v>
      </c>
      <c r="BB18" s="108">
        <f>SUM(AT18:BA18)</f>
        <v>10</v>
      </c>
      <c r="BC18" s="107">
        <f>AS18-BB18</f>
        <v>-10</v>
      </c>
      <c r="BD18" s="108">
        <f t="shared" ref="BD18:BD36" si="17">BC18*$BF18</f>
        <v>-9.6497153333976655</v>
      </c>
      <c r="BE18" s="111"/>
      <c r="BF18" s="180">
        <f>1/(1+$O$25)</f>
        <v>0.96497153333976649</v>
      </c>
      <c r="BH18" s="112">
        <f>AT18</f>
        <v>0</v>
      </c>
      <c r="BI18" s="112">
        <f>AU18</f>
        <v>0</v>
      </c>
      <c r="BJ18" s="113">
        <f>AV18</f>
        <v>0</v>
      </c>
      <c r="BK18" s="113">
        <f>AW18</f>
        <v>0</v>
      </c>
      <c r="BL18" s="113">
        <f>AY18</f>
        <v>0</v>
      </c>
      <c r="BM18" s="107">
        <f t="shared" ref="BM18:BM47" si="18">IF($X18="維持管理・運営期間",$F$72,0)</f>
        <v>0</v>
      </c>
      <c r="BN18" s="114">
        <f t="shared" ref="BN18:BN36" si="19">SUM(BH18:BM18)</f>
        <v>0</v>
      </c>
      <c r="BO18" s="113">
        <f t="shared" ref="BO18:BO36" si="20">IF($W18=$F$18,$P$35,0)</f>
        <v>0</v>
      </c>
      <c r="BP18" s="113">
        <f t="shared" ref="BP18:BP47" si="21">IF(AND(W18&gt;$F$18,W18&lt;=SUM($F$18:$F$19)),$P$46,0)</f>
        <v>0</v>
      </c>
      <c r="BQ18" s="113">
        <f t="shared" ref="BQ18:BQ47" si="22">IFERROR(-IPMT($P$87,W18-$F$18,$F$19,$P$34),0)</f>
        <v>0</v>
      </c>
      <c r="BR18" s="113">
        <f t="shared" ref="BR18:BR47" si="23">IF($W18&lt;=$O$18,$F$137,0)</f>
        <v>0</v>
      </c>
      <c r="BS18" s="113">
        <f t="shared" ref="BS18:BS47" si="24">IF($W18=1,$O$136,0)</f>
        <v>0</v>
      </c>
      <c r="BT18" s="107">
        <f>IF($X18="-",0,IF($W18&lt;=$F$18,$P$105,IF($W18=$F$18+1,$P$106,$P$107)))</f>
        <v>0</v>
      </c>
      <c r="BU18" s="114">
        <f>SUM(BO18:BT18)</f>
        <v>0</v>
      </c>
      <c r="BV18" s="114">
        <f t="shared" ref="BV18:BV36" si="25">BN18-BU18</f>
        <v>0</v>
      </c>
      <c r="BW18" s="98"/>
      <c r="BX18" s="115">
        <f t="shared" ref="BX18:BX47" si="26">IFERROR(-PPMT($P$87,$W18-$F$18,$F$19,$P$34),0)</f>
        <v>0</v>
      </c>
      <c r="BY18" s="118">
        <f t="shared" ref="BY18:BY36" si="27">IF(W18&lt;=$F$18,0,IF(BV18&gt;=BX18,0,1))</f>
        <v>0</v>
      </c>
    </row>
    <row r="19" spans="1:77" ht="15.75" customHeight="1" x14ac:dyDescent="0.45">
      <c r="B19" s="223"/>
      <c r="C19" s="21" t="s">
        <v>141</v>
      </c>
      <c r="D19" s="191" t="s">
        <v>14</v>
      </c>
      <c r="F19" s="150">
        <v>0</v>
      </c>
      <c r="V19" s="294">
        <f t="shared" ref="V19:V36" si="28">IF(W19=1,DATE(YEAR($F$20)+(MONTH($F$20)&gt;=4),4,0),EOMONTH(V18,12))</f>
        <v>46843</v>
      </c>
      <c r="W19" s="366">
        <f t="shared" ref="W19:W47" si="29">W18+1</f>
        <v>2</v>
      </c>
      <c r="X19" s="366" t="str">
        <f t="shared" ref="X19:X47" si="30">IF(W19&lt;=$F$18,$C$18,IF(W19&gt;SUM($F$18:$F$19),"-",$C$19))</f>
        <v>整備期間</v>
      </c>
      <c r="Y19" s="106">
        <f t="shared" si="0"/>
        <v>0</v>
      </c>
      <c r="Z19" s="107">
        <f t="shared" si="1"/>
        <v>0</v>
      </c>
      <c r="AA19" s="107">
        <f t="shared" si="2"/>
        <v>0</v>
      </c>
      <c r="AB19" s="107">
        <f t="shared" si="3"/>
        <v>0</v>
      </c>
      <c r="AC19" s="108">
        <f t="shared" ref="AC19:AC36" si="31">SUM(Y19:AB19)</f>
        <v>0</v>
      </c>
      <c r="AD19" s="106">
        <f t="shared" si="4"/>
        <v>0</v>
      </c>
      <c r="AE19" s="107">
        <f t="shared" si="5"/>
        <v>0</v>
      </c>
      <c r="AF19" s="107">
        <f t="shared" ref="AF19:AF47" si="32">IF($X19=$C$18, $E$52, 0)+IF($X19=$C$19, $E$53, 0)</f>
        <v>0</v>
      </c>
      <c r="AG19" s="368">
        <f>IF(AND($W19&gt;$O$83, SUM($AA$17:AA18)&gt;0,SUM($AG$17:AG18)&lt;$O$79),$O$82,0)</f>
        <v>0</v>
      </c>
      <c r="AH19" s="107">
        <f>IF(SUM($AA18:$AA$18)&gt;0,($O$79-SUM($AG18:$AG$18))*$F$83,0)</f>
        <v>0</v>
      </c>
      <c r="AI19" s="108">
        <f t="shared" ref="AI19:AI36" si="33">SUM(AD19:AH19)</f>
        <v>0</v>
      </c>
      <c r="AJ19" s="113">
        <f t="shared" si="6"/>
        <v>0</v>
      </c>
      <c r="AK19" s="115">
        <f t="shared" ref="AK19:AK47" si="34">-MIN(0, AH19-BQ19)</f>
        <v>0</v>
      </c>
      <c r="AL19" s="109"/>
      <c r="AM19" s="114">
        <f t="shared" si="7"/>
        <v>0</v>
      </c>
      <c r="AN19" s="110"/>
      <c r="AO19" s="112">
        <f t="shared" si="8"/>
        <v>0</v>
      </c>
      <c r="AP19" s="113">
        <f t="shared" si="9"/>
        <v>0</v>
      </c>
      <c r="AQ19" s="113">
        <f t="shared" si="10"/>
        <v>0</v>
      </c>
      <c r="AR19" s="107">
        <f t="shared" si="11"/>
        <v>0</v>
      </c>
      <c r="AS19" s="108">
        <f t="shared" ref="AS19:AS36" si="35">SUM(AO19:AR19)</f>
        <v>0</v>
      </c>
      <c r="AT19" s="107">
        <f t="shared" si="12"/>
        <v>0</v>
      </c>
      <c r="AU19" s="107">
        <f t="shared" si="13"/>
        <v>0</v>
      </c>
      <c r="AV19" s="107">
        <f t="shared" si="14"/>
        <v>0</v>
      </c>
      <c r="AW19" s="107">
        <f t="shared" si="15"/>
        <v>0</v>
      </c>
      <c r="AX19" s="368">
        <f t="shared" ref="AX19:AX47" si="36">IF($X19=$C$18, $F$52, 0)+IF($X19=$C$19, $F$53, 0)</f>
        <v>10</v>
      </c>
      <c r="AY19" s="107">
        <f t="shared" si="16"/>
        <v>0</v>
      </c>
      <c r="AZ19" s="368">
        <f>IF(AND($W19&gt;$P$83, SUM($AQ$17:AQ18)&gt;0,SUM($AZ$17:AZ18)&lt;$P$79),$P$82,0)</f>
        <v>0</v>
      </c>
      <c r="BA19" s="107">
        <f>IF(SUM($AQ18:$AQ$18)&gt;0,($P$79-SUM($AZ18:$AZ$18))*$F$83,0)</f>
        <v>0</v>
      </c>
      <c r="BB19" s="108">
        <f t="shared" ref="BB19:BB36" si="37">SUM(AT19:BA19)</f>
        <v>10</v>
      </c>
      <c r="BC19" s="113">
        <f t="shared" ref="BC19:BC36" si="38">AS19-BB19</f>
        <v>-10</v>
      </c>
      <c r="BD19" s="114">
        <f t="shared" si="17"/>
        <v>-9.3117006015610002</v>
      </c>
      <c r="BE19" s="111"/>
      <c r="BF19" s="180">
        <f t="shared" ref="BF19:BF36" si="39">BF18/(1+$O$25)</f>
        <v>0.93117006015610004</v>
      </c>
      <c r="BH19" s="112">
        <f t="shared" ref="BH19:BK34" si="40">AT19</f>
        <v>0</v>
      </c>
      <c r="BI19" s="112">
        <f t="shared" si="40"/>
        <v>0</v>
      </c>
      <c r="BJ19" s="113">
        <f t="shared" si="40"/>
        <v>0</v>
      </c>
      <c r="BK19" s="113">
        <f t="shared" si="40"/>
        <v>0</v>
      </c>
      <c r="BL19" s="113">
        <f t="shared" ref="BL19:BL36" si="41">AY19</f>
        <v>0</v>
      </c>
      <c r="BM19" s="107">
        <f t="shared" si="18"/>
        <v>0</v>
      </c>
      <c r="BN19" s="114">
        <f t="shared" si="19"/>
        <v>0</v>
      </c>
      <c r="BO19" s="113">
        <f t="shared" si="20"/>
        <v>0</v>
      </c>
      <c r="BP19" s="113">
        <f t="shared" si="21"/>
        <v>0</v>
      </c>
      <c r="BQ19" s="113">
        <f t="shared" si="22"/>
        <v>0</v>
      </c>
      <c r="BR19" s="113">
        <f t="shared" si="23"/>
        <v>0</v>
      </c>
      <c r="BS19" s="113">
        <f t="shared" si="24"/>
        <v>0</v>
      </c>
      <c r="BT19" s="107">
        <f t="shared" ref="BT19:BT47" si="42">IF($X19="-",0,IF($W19&lt;=$F$18,$P$105,IF($W19=$F$18+1,$P$106,$P$107)))</f>
        <v>0</v>
      </c>
      <c r="BU19" s="114">
        <f t="shared" ref="BU19:BU36" si="43">SUM(BO19:BT19)</f>
        <v>0</v>
      </c>
      <c r="BV19" s="114">
        <f t="shared" si="25"/>
        <v>0</v>
      </c>
      <c r="BW19" s="98"/>
      <c r="BX19" s="115">
        <f t="shared" si="26"/>
        <v>0</v>
      </c>
      <c r="BY19" s="118">
        <f t="shared" si="27"/>
        <v>0</v>
      </c>
    </row>
    <row r="20" spans="1:77" ht="15.75" customHeight="1" x14ac:dyDescent="0.45">
      <c r="B20" s="223"/>
      <c r="C20" s="21" t="s">
        <v>142</v>
      </c>
      <c r="D20" s="191" t="s">
        <v>143</v>
      </c>
      <c r="F20" s="151">
        <v>46113</v>
      </c>
      <c r="V20" s="294">
        <f t="shared" si="28"/>
        <v>47208</v>
      </c>
      <c r="W20" s="366">
        <f t="shared" si="29"/>
        <v>3</v>
      </c>
      <c r="X20" s="366" t="str">
        <f t="shared" si="30"/>
        <v>整備期間</v>
      </c>
      <c r="Y20" s="106">
        <f t="shared" si="0"/>
        <v>1140</v>
      </c>
      <c r="Z20" s="107">
        <f t="shared" si="1"/>
        <v>0</v>
      </c>
      <c r="AA20" s="107">
        <f t="shared" si="2"/>
        <v>1282.5</v>
      </c>
      <c r="AB20" s="107">
        <f t="shared" si="3"/>
        <v>0</v>
      </c>
      <c r="AC20" s="108">
        <f t="shared" si="31"/>
        <v>2422.5</v>
      </c>
      <c r="AD20" s="106">
        <f t="shared" si="4"/>
        <v>2850</v>
      </c>
      <c r="AE20" s="107">
        <f t="shared" si="5"/>
        <v>0</v>
      </c>
      <c r="AF20" s="107">
        <f t="shared" si="32"/>
        <v>0</v>
      </c>
      <c r="AG20" s="368">
        <f>IF(AND($W20&gt;$O$83, SUM($AA$17:AA19)&gt;0,SUM($AG$17:AG19)&lt;$O$79),$O$82,0)</f>
        <v>0</v>
      </c>
      <c r="AH20" s="107">
        <f>IF(SUM($AA$18:$AA19)&gt;0,($O$79-SUM($AG$18:$AG19))*$F$83,0)</f>
        <v>0</v>
      </c>
      <c r="AI20" s="108">
        <f t="shared" si="33"/>
        <v>2850</v>
      </c>
      <c r="AJ20" s="113">
        <f t="shared" si="6"/>
        <v>-427.5</v>
      </c>
      <c r="AK20" s="115">
        <f t="shared" si="34"/>
        <v>0</v>
      </c>
      <c r="AL20" s="277"/>
      <c r="AM20" s="264">
        <f t="shared" si="7"/>
        <v>-384.13123682016089</v>
      </c>
      <c r="AN20" s="278"/>
      <c r="AO20" s="266">
        <f t="shared" si="8"/>
        <v>1140</v>
      </c>
      <c r="AP20" s="263">
        <f t="shared" si="9"/>
        <v>0</v>
      </c>
      <c r="AQ20" s="263">
        <f t="shared" si="10"/>
        <v>1282.5</v>
      </c>
      <c r="AR20" s="260">
        <f t="shared" si="11"/>
        <v>0</v>
      </c>
      <c r="AS20" s="261">
        <f t="shared" si="35"/>
        <v>2422.5</v>
      </c>
      <c r="AT20" s="260">
        <f t="shared" si="12"/>
        <v>2850</v>
      </c>
      <c r="AU20" s="260">
        <f t="shared" si="13"/>
        <v>0</v>
      </c>
      <c r="AV20" s="260">
        <f t="shared" si="14"/>
        <v>0</v>
      </c>
      <c r="AW20" s="260">
        <f t="shared" si="15"/>
        <v>0</v>
      </c>
      <c r="AX20" s="368">
        <f t="shared" si="36"/>
        <v>10</v>
      </c>
      <c r="AY20" s="260">
        <f t="shared" si="16"/>
        <v>0</v>
      </c>
      <c r="AZ20" s="368">
        <f>IF(AND($W20&gt;$P$83, SUM($AQ$17:AQ19)&gt;0,SUM($AZ$17:AZ19)&lt;$P$79),$P$82,0)</f>
        <v>0</v>
      </c>
      <c r="BA20" s="107">
        <f>IF(SUM($AQ$18:$AQ19)&gt;0,($P$79-SUM($AZ$18:$AZ19))*$F$83,0)</f>
        <v>0</v>
      </c>
      <c r="BB20" s="261">
        <f t="shared" si="37"/>
        <v>2860</v>
      </c>
      <c r="BC20" s="263">
        <f t="shared" si="38"/>
        <v>-437.5</v>
      </c>
      <c r="BD20" s="264">
        <f t="shared" si="17"/>
        <v>-393.11676282765006</v>
      </c>
      <c r="BE20" s="279"/>
      <c r="BF20" s="180">
        <f t="shared" si="39"/>
        <v>0.89855260074891441</v>
      </c>
      <c r="BH20" s="266">
        <f t="shared" si="40"/>
        <v>2850</v>
      </c>
      <c r="BI20" s="266">
        <f t="shared" si="40"/>
        <v>0</v>
      </c>
      <c r="BJ20" s="263">
        <f t="shared" si="40"/>
        <v>0</v>
      </c>
      <c r="BK20" s="263">
        <f t="shared" si="40"/>
        <v>0</v>
      </c>
      <c r="BL20" s="263">
        <f t="shared" si="41"/>
        <v>0</v>
      </c>
      <c r="BM20" s="260">
        <f t="shared" si="18"/>
        <v>0</v>
      </c>
      <c r="BN20" s="264">
        <f t="shared" si="19"/>
        <v>2850</v>
      </c>
      <c r="BO20" s="263">
        <f t="shared" si="20"/>
        <v>2850</v>
      </c>
      <c r="BP20" s="263">
        <f t="shared" si="21"/>
        <v>0</v>
      </c>
      <c r="BQ20" s="263">
        <f t="shared" si="22"/>
        <v>0</v>
      </c>
      <c r="BR20" s="263">
        <f t="shared" si="23"/>
        <v>0</v>
      </c>
      <c r="BS20" s="263">
        <f t="shared" si="24"/>
        <v>0</v>
      </c>
      <c r="BT20" s="107">
        <f t="shared" si="42"/>
        <v>0</v>
      </c>
      <c r="BU20" s="264">
        <f t="shared" si="43"/>
        <v>2850</v>
      </c>
      <c r="BV20" s="264">
        <f t="shared" si="25"/>
        <v>0</v>
      </c>
      <c r="BW20" s="265"/>
      <c r="BX20" s="361">
        <f t="shared" si="26"/>
        <v>0</v>
      </c>
      <c r="BY20" s="499">
        <f t="shared" si="27"/>
        <v>0</v>
      </c>
    </row>
    <row r="21" spans="1:77" ht="15.75" customHeight="1" x14ac:dyDescent="0.45">
      <c r="B21" s="223"/>
      <c r="C21" s="116" t="s">
        <v>144</v>
      </c>
      <c r="D21" s="191" t="s">
        <v>143</v>
      </c>
      <c r="F21" s="152">
        <f>EOMONTH(F20,12*F18-1)</f>
        <v>47208</v>
      </c>
      <c r="V21" s="294">
        <f t="shared" si="28"/>
        <v>47573</v>
      </c>
      <c r="W21" s="366">
        <f t="shared" si="29"/>
        <v>4</v>
      </c>
      <c r="X21" s="366" t="str">
        <f t="shared" si="30"/>
        <v>-</v>
      </c>
      <c r="Y21" s="106">
        <f t="shared" si="0"/>
        <v>0</v>
      </c>
      <c r="Z21" s="107">
        <f t="shared" si="1"/>
        <v>0</v>
      </c>
      <c r="AA21" s="107">
        <f t="shared" si="2"/>
        <v>0</v>
      </c>
      <c r="AB21" s="107">
        <f t="shared" si="3"/>
        <v>0</v>
      </c>
      <c r="AC21" s="108">
        <f t="shared" si="31"/>
        <v>0</v>
      </c>
      <c r="AD21" s="106">
        <f t="shared" si="4"/>
        <v>0</v>
      </c>
      <c r="AE21" s="107">
        <f t="shared" si="5"/>
        <v>0</v>
      </c>
      <c r="AF21" s="107">
        <f t="shared" si="32"/>
        <v>0</v>
      </c>
      <c r="AG21" s="368">
        <f>IF(AND($W21&gt;$O$83, SUM($AA$17:AA20)&gt;0,SUM($AG$17:AG20)&lt;$O$79),$O$82,0)</f>
        <v>0</v>
      </c>
      <c r="AH21" s="107">
        <f>IF(SUM($AA$18:$AA20)&gt;0,($O$79-SUM($AG$18:$AG20))*$F$83,0)</f>
        <v>25.008749999999999</v>
      </c>
      <c r="AI21" s="108">
        <f t="shared" si="33"/>
        <v>25.008749999999999</v>
      </c>
      <c r="AJ21" s="113">
        <f t="shared" si="6"/>
        <v>-25.008749999999999</v>
      </c>
      <c r="AK21" s="115">
        <f t="shared" si="34"/>
        <v>0</v>
      </c>
      <c r="AL21" s="277"/>
      <c r="AM21" s="264">
        <f t="shared" si="7"/>
        <v>-21.684528952986021</v>
      </c>
      <c r="AN21" s="278"/>
      <c r="AO21" s="266">
        <f t="shared" si="8"/>
        <v>0</v>
      </c>
      <c r="AP21" s="263">
        <f t="shared" si="9"/>
        <v>0</v>
      </c>
      <c r="AQ21" s="263">
        <f t="shared" si="10"/>
        <v>0</v>
      </c>
      <c r="AR21" s="260">
        <f t="shared" si="11"/>
        <v>0</v>
      </c>
      <c r="AS21" s="261">
        <f t="shared" si="35"/>
        <v>0</v>
      </c>
      <c r="AT21" s="260">
        <f t="shared" si="12"/>
        <v>0</v>
      </c>
      <c r="AU21" s="260">
        <f t="shared" si="13"/>
        <v>0</v>
      </c>
      <c r="AV21" s="260">
        <f t="shared" si="14"/>
        <v>0</v>
      </c>
      <c r="AW21" s="260">
        <f t="shared" si="15"/>
        <v>0</v>
      </c>
      <c r="AX21" s="368">
        <f t="shared" si="36"/>
        <v>0</v>
      </c>
      <c r="AY21" s="260">
        <f t="shared" si="16"/>
        <v>0</v>
      </c>
      <c r="AZ21" s="368">
        <f>IF(AND($W21&gt;$P$83, SUM($AQ$17:AQ20)&gt;0,SUM($AZ$17:AZ20)&lt;$P$79),$P$82,0)</f>
        <v>0</v>
      </c>
      <c r="BA21" s="107">
        <f>IF(SUM($AQ$18:$AQ20)&gt;0,($P$79-SUM($AZ$18:$AZ20))*$F$83,0)</f>
        <v>25.008749999999999</v>
      </c>
      <c r="BB21" s="261">
        <f t="shared" si="37"/>
        <v>25.008749999999999</v>
      </c>
      <c r="BC21" s="263">
        <f t="shared" si="38"/>
        <v>-25.008749999999999</v>
      </c>
      <c r="BD21" s="264">
        <f t="shared" si="17"/>
        <v>-21.684528952986021</v>
      </c>
      <c r="BE21" s="279"/>
      <c r="BF21" s="180">
        <f t="shared" si="39"/>
        <v>0.86707768093111492</v>
      </c>
      <c r="BH21" s="266">
        <f t="shared" si="40"/>
        <v>0</v>
      </c>
      <c r="BI21" s="266">
        <f t="shared" si="40"/>
        <v>0</v>
      </c>
      <c r="BJ21" s="263">
        <f t="shared" si="40"/>
        <v>0</v>
      </c>
      <c r="BK21" s="263">
        <f t="shared" si="40"/>
        <v>0</v>
      </c>
      <c r="BL21" s="263">
        <f t="shared" si="41"/>
        <v>0</v>
      </c>
      <c r="BM21" s="260">
        <f t="shared" si="18"/>
        <v>0</v>
      </c>
      <c r="BN21" s="264">
        <f t="shared" si="19"/>
        <v>0</v>
      </c>
      <c r="BO21" s="263">
        <f t="shared" si="20"/>
        <v>0</v>
      </c>
      <c r="BP21" s="263">
        <f t="shared" si="21"/>
        <v>0</v>
      </c>
      <c r="BQ21" s="263">
        <f t="shared" si="22"/>
        <v>0</v>
      </c>
      <c r="BR21" s="263">
        <f t="shared" si="23"/>
        <v>0</v>
      </c>
      <c r="BS21" s="263">
        <f t="shared" si="24"/>
        <v>0</v>
      </c>
      <c r="BT21" s="107">
        <f t="shared" si="42"/>
        <v>0</v>
      </c>
      <c r="BU21" s="264">
        <f t="shared" si="43"/>
        <v>0</v>
      </c>
      <c r="BV21" s="264">
        <f t="shared" si="25"/>
        <v>0</v>
      </c>
      <c r="BW21" s="265"/>
      <c r="BX21" s="361">
        <f t="shared" si="26"/>
        <v>0</v>
      </c>
      <c r="BY21" s="499">
        <f t="shared" si="27"/>
        <v>0</v>
      </c>
    </row>
    <row r="22" spans="1:77" ht="15.75" customHeight="1" x14ac:dyDescent="0.45">
      <c r="B22" s="223"/>
      <c r="C22" s="21" t="s">
        <v>145</v>
      </c>
      <c r="D22" s="191" t="s">
        <v>143</v>
      </c>
      <c r="F22" s="152">
        <f>F21+1</f>
        <v>47209</v>
      </c>
      <c r="V22" s="294">
        <f t="shared" si="28"/>
        <v>47938</v>
      </c>
      <c r="W22" s="366">
        <f t="shared" si="29"/>
        <v>5</v>
      </c>
      <c r="X22" s="366" t="str">
        <f t="shared" si="30"/>
        <v>-</v>
      </c>
      <c r="Y22" s="106">
        <f t="shared" si="0"/>
        <v>0</v>
      </c>
      <c r="Z22" s="107">
        <f t="shared" si="1"/>
        <v>0</v>
      </c>
      <c r="AA22" s="107">
        <f t="shared" si="2"/>
        <v>0</v>
      </c>
      <c r="AB22" s="107">
        <f t="shared" si="3"/>
        <v>0</v>
      </c>
      <c r="AC22" s="108">
        <f t="shared" si="31"/>
        <v>0</v>
      </c>
      <c r="AD22" s="106">
        <f t="shared" si="4"/>
        <v>0</v>
      </c>
      <c r="AE22" s="107">
        <f t="shared" si="5"/>
        <v>0</v>
      </c>
      <c r="AF22" s="107">
        <f t="shared" si="32"/>
        <v>0</v>
      </c>
      <c r="AG22" s="368">
        <f>IF(AND($W22&gt;$O$83, SUM($AA$17:AA21)&gt;0,SUM($AG$17:AG21)&lt;$O$79),$O$82,0)</f>
        <v>0</v>
      </c>
      <c r="AH22" s="107">
        <f>IF(SUM($AA$18:$AA21)&gt;0,($O$79-SUM($AG$18:$AG21))*$F$83,0)</f>
        <v>25.008749999999999</v>
      </c>
      <c r="AI22" s="108">
        <f t="shared" si="33"/>
        <v>25.008749999999999</v>
      </c>
      <c r="AJ22" s="113">
        <f t="shared" si="6"/>
        <v>-25.008749999999999</v>
      </c>
      <c r="AK22" s="115">
        <f t="shared" si="34"/>
        <v>0</v>
      </c>
      <c r="AL22" s="277"/>
      <c r="AM22" s="264">
        <f t="shared" si="7"/>
        <v>-20.924953153513481</v>
      </c>
      <c r="AN22" s="278"/>
      <c r="AO22" s="266">
        <f t="shared" si="8"/>
        <v>0</v>
      </c>
      <c r="AP22" s="263">
        <f t="shared" si="9"/>
        <v>0</v>
      </c>
      <c r="AQ22" s="263">
        <f t="shared" si="10"/>
        <v>0</v>
      </c>
      <c r="AR22" s="260">
        <f t="shared" si="11"/>
        <v>0</v>
      </c>
      <c r="AS22" s="261">
        <f t="shared" si="35"/>
        <v>0</v>
      </c>
      <c r="AT22" s="260">
        <f t="shared" si="12"/>
        <v>0</v>
      </c>
      <c r="AU22" s="260">
        <f t="shared" si="13"/>
        <v>0</v>
      </c>
      <c r="AV22" s="260">
        <f t="shared" si="14"/>
        <v>0</v>
      </c>
      <c r="AW22" s="260">
        <f t="shared" si="15"/>
        <v>0</v>
      </c>
      <c r="AX22" s="368">
        <f t="shared" si="36"/>
        <v>0</v>
      </c>
      <c r="AY22" s="260">
        <f t="shared" si="16"/>
        <v>0</v>
      </c>
      <c r="AZ22" s="368">
        <f>IF(AND($W22&gt;$P$83, SUM($AQ$17:AQ21)&gt;0,SUM($AZ$17:AZ21)&lt;$P$79),$P$82,0)</f>
        <v>0</v>
      </c>
      <c r="BA22" s="107">
        <f>IF(SUM($AQ$18:$AQ21)&gt;0,($P$79-SUM($AZ$18:$AZ21))*$F$83,0)</f>
        <v>25.008749999999999</v>
      </c>
      <c r="BB22" s="261">
        <f t="shared" si="37"/>
        <v>25.008749999999999</v>
      </c>
      <c r="BC22" s="263">
        <f t="shared" si="38"/>
        <v>-25.008749999999999</v>
      </c>
      <c r="BD22" s="264">
        <f t="shared" si="17"/>
        <v>-20.924953153513481</v>
      </c>
      <c r="BE22" s="279"/>
      <c r="BF22" s="180">
        <f t="shared" si="39"/>
        <v>0.83670527929278682</v>
      </c>
      <c r="BH22" s="266">
        <f t="shared" si="40"/>
        <v>0</v>
      </c>
      <c r="BI22" s="266">
        <f t="shared" si="40"/>
        <v>0</v>
      </c>
      <c r="BJ22" s="263">
        <f t="shared" si="40"/>
        <v>0</v>
      </c>
      <c r="BK22" s="263">
        <f t="shared" si="40"/>
        <v>0</v>
      </c>
      <c r="BL22" s="263">
        <f t="shared" si="41"/>
        <v>0</v>
      </c>
      <c r="BM22" s="260">
        <f t="shared" si="18"/>
        <v>0</v>
      </c>
      <c r="BN22" s="264">
        <f t="shared" si="19"/>
        <v>0</v>
      </c>
      <c r="BO22" s="263">
        <f t="shared" si="20"/>
        <v>0</v>
      </c>
      <c r="BP22" s="263">
        <f t="shared" si="21"/>
        <v>0</v>
      </c>
      <c r="BQ22" s="263">
        <f t="shared" si="22"/>
        <v>0</v>
      </c>
      <c r="BR22" s="263">
        <f t="shared" si="23"/>
        <v>0</v>
      </c>
      <c r="BS22" s="263">
        <f t="shared" si="24"/>
        <v>0</v>
      </c>
      <c r="BT22" s="107">
        <f t="shared" si="42"/>
        <v>0</v>
      </c>
      <c r="BU22" s="264">
        <f t="shared" si="43"/>
        <v>0</v>
      </c>
      <c r="BV22" s="264">
        <f t="shared" si="25"/>
        <v>0</v>
      </c>
      <c r="BW22" s="265"/>
      <c r="BX22" s="361">
        <f t="shared" si="26"/>
        <v>0</v>
      </c>
      <c r="BY22" s="499">
        <f t="shared" si="27"/>
        <v>0</v>
      </c>
    </row>
    <row r="23" spans="1:77" ht="15.75" customHeight="1" x14ac:dyDescent="0.45">
      <c r="B23" s="223"/>
      <c r="C23" s="21" t="s">
        <v>146</v>
      </c>
      <c r="D23" s="191" t="s">
        <v>143</v>
      </c>
      <c r="F23" s="152">
        <f>EOMONTH(F22,12*F19-1)</f>
        <v>47208</v>
      </c>
      <c r="I23" s="332"/>
      <c r="V23" s="294">
        <f t="shared" si="28"/>
        <v>48304</v>
      </c>
      <c r="W23" s="366">
        <f t="shared" si="29"/>
        <v>6</v>
      </c>
      <c r="X23" s="366" t="str">
        <f t="shared" si="30"/>
        <v>-</v>
      </c>
      <c r="Y23" s="106">
        <f t="shared" si="0"/>
        <v>0</v>
      </c>
      <c r="Z23" s="107">
        <f t="shared" si="1"/>
        <v>0</v>
      </c>
      <c r="AA23" s="107">
        <f t="shared" si="2"/>
        <v>0</v>
      </c>
      <c r="AB23" s="107">
        <f t="shared" si="3"/>
        <v>0</v>
      </c>
      <c r="AC23" s="108">
        <f t="shared" si="31"/>
        <v>0</v>
      </c>
      <c r="AD23" s="106">
        <f t="shared" si="4"/>
        <v>0</v>
      </c>
      <c r="AE23" s="107">
        <f t="shared" si="5"/>
        <v>0</v>
      </c>
      <c r="AF23" s="107">
        <f t="shared" si="32"/>
        <v>0</v>
      </c>
      <c r="AG23" s="368">
        <f>IF(AND($W23&gt;$O$83, SUM($AA$17:AA22)&gt;0,SUM($AG$17:AG22)&lt;$O$79),$O$82,0)</f>
        <v>0</v>
      </c>
      <c r="AH23" s="107">
        <f>IF(SUM($AA$18:$AA22)&gt;0,($O$79-SUM($AG$18:$AG22))*$F$83,0)</f>
        <v>25.008749999999999</v>
      </c>
      <c r="AI23" s="108">
        <f t="shared" si="33"/>
        <v>25.008749999999999</v>
      </c>
      <c r="AJ23" s="113">
        <f t="shared" si="6"/>
        <v>-25.008749999999999</v>
      </c>
      <c r="AK23" s="115">
        <f t="shared" si="34"/>
        <v>0</v>
      </c>
      <c r="AL23" s="277"/>
      <c r="AM23" s="264">
        <f t="shared" si="7"/>
        <v>-20.191984129608688</v>
      </c>
      <c r="AN23" s="278"/>
      <c r="AO23" s="266">
        <f t="shared" si="8"/>
        <v>0</v>
      </c>
      <c r="AP23" s="263">
        <f t="shared" si="9"/>
        <v>0</v>
      </c>
      <c r="AQ23" s="263">
        <f t="shared" si="10"/>
        <v>0</v>
      </c>
      <c r="AR23" s="260">
        <f t="shared" si="11"/>
        <v>0</v>
      </c>
      <c r="AS23" s="261">
        <f t="shared" si="35"/>
        <v>0</v>
      </c>
      <c r="AT23" s="260">
        <f t="shared" si="12"/>
        <v>0</v>
      </c>
      <c r="AU23" s="260">
        <f t="shared" si="13"/>
        <v>0</v>
      </c>
      <c r="AV23" s="260">
        <f t="shared" si="14"/>
        <v>0</v>
      </c>
      <c r="AW23" s="260">
        <f t="shared" si="15"/>
        <v>0</v>
      </c>
      <c r="AX23" s="368">
        <f t="shared" si="36"/>
        <v>0</v>
      </c>
      <c r="AY23" s="260">
        <f t="shared" si="16"/>
        <v>0</v>
      </c>
      <c r="AZ23" s="368">
        <f>IF(AND($W23&gt;$P$83, SUM($AQ$17:AQ22)&gt;0,SUM($AZ$17:AZ22)&lt;$P$79),$P$82,0)</f>
        <v>0</v>
      </c>
      <c r="BA23" s="107">
        <f>IF(SUM($AQ$18:$AQ22)&gt;0,($P$79-SUM($AZ$18:$AZ22))*$F$83,0)</f>
        <v>25.008749999999999</v>
      </c>
      <c r="BB23" s="261">
        <f t="shared" si="37"/>
        <v>25.008749999999999</v>
      </c>
      <c r="BC23" s="263">
        <f t="shared" si="38"/>
        <v>-25.008749999999999</v>
      </c>
      <c r="BD23" s="264">
        <f t="shared" si="17"/>
        <v>-20.191984129608688</v>
      </c>
      <c r="BE23" s="279"/>
      <c r="BF23" s="180">
        <f t="shared" si="39"/>
        <v>0.80739677631263806</v>
      </c>
      <c r="BH23" s="266">
        <f t="shared" si="40"/>
        <v>0</v>
      </c>
      <c r="BI23" s="266">
        <f t="shared" si="40"/>
        <v>0</v>
      </c>
      <c r="BJ23" s="263">
        <f t="shared" si="40"/>
        <v>0</v>
      </c>
      <c r="BK23" s="263">
        <f t="shared" si="40"/>
        <v>0</v>
      </c>
      <c r="BL23" s="263">
        <f t="shared" si="41"/>
        <v>0</v>
      </c>
      <c r="BM23" s="260">
        <f t="shared" si="18"/>
        <v>0</v>
      </c>
      <c r="BN23" s="264">
        <f t="shared" si="19"/>
        <v>0</v>
      </c>
      <c r="BO23" s="263">
        <f t="shared" si="20"/>
        <v>0</v>
      </c>
      <c r="BP23" s="263">
        <f t="shared" si="21"/>
        <v>0</v>
      </c>
      <c r="BQ23" s="263">
        <f t="shared" si="22"/>
        <v>0</v>
      </c>
      <c r="BR23" s="263">
        <f t="shared" si="23"/>
        <v>0</v>
      </c>
      <c r="BS23" s="263">
        <f t="shared" si="24"/>
        <v>0</v>
      </c>
      <c r="BT23" s="107">
        <f t="shared" si="42"/>
        <v>0</v>
      </c>
      <c r="BU23" s="264">
        <f t="shared" si="43"/>
        <v>0</v>
      </c>
      <c r="BV23" s="264">
        <f t="shared" si="25"/>
        <v>0</v>
      </c>
      <c r="BW23" s="265"/>
      <c r="BX23" s="361">
        <f t="shared" si="26"/>
        <v>0</v>
      </c>
      <c r="BY23" s="499">
        <f t="shared" si="27"/>
        <v>0</v>
      </c>
    </row>
    <row r="24" spans="1:77" ht="15.75" customHeight="1" x14ac:dyDescent="0.3">
      <c r="B24" s="223"/>
      <c r="V24" s="294">
        <f t="shared" si="28"/>
        <v>48669</v>
      </c>
      <c r="W24" s="366">
        <f t="shared" si="29"/>
        <v>7</v>
      </c>
      <c r="X24" s="366" t="str">
        <f t="shared" si="30"/>
        <v>-</v>
      </c>
      <c r="Y24" s="106">
        <f t="shared" si="0"/>
        <v>0</v>
      </c>
      <c r="Z24" s="107">
        <f t="shared" si="1"/>
        <v>0</v>
      </c>
      <c r="AA24" s="107">
        <f t="shared" si="2"/>
        <v>0</v>
      </c>
      <c r="AB24" s="107">
        <f t="shared" si="3"/>
        <v>0</v>
      </c>
      <c r="AC24" s="108">
        <f t="shared" si="31"/>
        <v>0</v>
      </c>
      <c r="AD24" s="106">
        <f t="shared" si="4"/>
        <v>0</v>
      </c>
      <c r="AE24" s="107">
        <f t="shared" si="5"/>
        <v>0</v>
      </c>
      <c r="AF24" s="107">
        <f t="shared" si="32"/>
        <v>0</v>
      </c>
      <c r="AG24" s="368">
        <f>IF(AND($W24&gt;$O$83, SUM($AA$17:AA23)&gt;0,SUM($AG$17:AG23)&lt;$O$79),$O$82,0)</f>
        <v>64.125</v>
      </c>
      <c r="AH24" s="107">
        <f>IF(SUM($AA$18:$AA23)&gt;0,($O$79-SUM($AG$18:$AG23))*$F$83,0)</f>
        <v>25.008749999999999</v>
      </c>
      <c r="AI24" s="108">
        <f t="shared" si="33"/>
        <v>89.133749999999992</v>
      </c>
      <c r="AJ24" s="113">
        <f t="shared" si="6"/>
        <v>-89.133749999999992</v>
      </c>
      <c r="AK24" s="115">
        <f t="shared" si="34"/>
        <v>0</v>
      </c>
      <c r="AL24" s="277"/>
      <c r="AM24" s="264">
        <f t="shared" si="7"/>
        <v>-69.445433186004621</v>
      </c>
      <c r="AN24" s="278"/>
      <c r="AO24" s="266">
        <f t="shared" si="8"/>
        <v>0</v>
      </c>
      <c r="AP24" s="263">
        <f t="shared" si="9"/>
        <v>0</v>
      </c>
      <c r="AQ24" s="263">
        <f t="shared" si="10"/>
        <v>0</v>
      </c>
      <c r="AR24" s="260">
        <f t="shared" si="11"/>
        <v>0</v>
      </c>
      <c r="AS24" s="261">
        <f t="shared" si="35"/>
        <v>0</v>
      </c>
      <c r="AT24" s="260">
        <f t="shared" si="12"/>
        <v>0</v>
      </c>
      <c r="AU24" s="260">
        <f t="shared" si="13"/>
        <v>0</v>
      </c>
      <c r="AV24" s="260">
        <f t="shared" si="14"/>
        <v>0</v>
      </c>
      <c r="AW24" s="260">
        <f t="shared" si="15"/>
        <v>0</v>
      </c>
      <c r="AX24" s="368">
        <f t="shared" si="36"/>
        <v>0</v>
      </c>
      <c r="AY24" s="260">
        <f t="shared" si="16"/>
        <v>0</v>
      </c>
      <c r="AZ24" s="368">
        <f>IF(AND($W24&gt;$P$83, SUM($AQ$17:AQ23)&gt;0,SUM($AZ$17:AZ23)&lt;$P$79),$P$82,0)</f>
        <v>64.125</v>
      </c>
      <c r="BA24" s="107">
        <f>IF(SUM($AQ$18:$AQ23)&gt;0,($P$79-SUM($AZ$18:$AZ23))*$F$83,0)</f>
        <v>25.008749999999999</v>
      </c>
      <c r="BB24" s="261">
        <f t="shared" si="37"/>
        <v>89.133749999999992</v>
      </c>
      <c r="BC24" s="263">
        <f t="shared" si="38"/>
        <v>-89.133749999999992</v>
      </c>
      <c r="BD24" s="264">
        <f t="shared" si="17"/>
        <v>-69.445433186004621</v>
      </c>
      <c r="BE24" s="279"/>
      <c r="BF24" s="180">
        <f t="shared" si="39"/>
        <v>0.77911490525199079</v>
      </c>
      <c r="BH24" s="266">
        <f t="shared" si="40"/>
        <v>0</v>
      </c>
      <c r="BI24" s="266">
        <f t="shared" si="40"/>
        <v>0</v>
      </c>
      <c r="BJ24" s="263">
        <f t="shared" si="40"/>
        <v>0</v>
      </c>
      <c r="BK24" s="263">
        <f t="shared" si="40"/>
        <v>0</v>
      </c>
      <c r="BL24" s="263">
        <f t="shared" si="41"/>
        <v>0</v>
      </c>
      <c r="BM24" s="260">
        <f t="shared" si="18"/>
        <v>0</v>
      </c>
      <c r="BN24" s="264">
        <f t="shared" si="19"/>
        <v>0</v>
      </c>
      <c r="BO24" s="263">
        <f t="shared" si="20"/>
        <v>0</v>
      </c>
      <c r="BP24" s="263">
        <f t="shared" si="21"/>
        <v>0</v>
      </c>
      <c r="BQ24" s="263">
        <f t="shared" si="22"/>
        <v>0</v>
      </c>
      <c r="BR24" s="263">
        <f t="shared" si="23"/>
        <v>0</v>
      </c>
      <c r="BS24" s="263">
        <f t="shared" si="24"/>
        <v>0</v>
      </c>
      <c r="BT24" s="107">
        <f t="shared" si="42"/>
        <v>0</v>
      </c>
      <c r="BU24" s="264">
        <f t="shared" si="43"/>
        <v>0</v>
      </c>
      <c r="BV24" s="264">
        <f t="shared" si="25"/>
        <v>0</v>
      </c>
      <c r="BW24" s="265"/>
      <c r="BX24" s="361">
        <f t="shared" si="26"/>
        <v>0</v>
      </c>
      <c r="BY24" s="499">
        <f t="shared" si="27"/>
        <v>0</v>
      </c>
    </row>
    <row r="25" spans="1:77" ht="15.75" customHeight="1" x14ac:dyDescent="0.3">
      <c r="B25" s="226" t="s">
        <v>147</v>
      </c>
      <c r="N25" s="191" t="s">
        <v>25</v>
      </c>
      <c r="O25" s="121">
        <f>SUM(F26:F27)</f>
        <v>3.6299999999999999E-2</v>
      </c>
      <c r="V25" s="294">
        <f t="shared" si="28"/>
        <v>49034</v>
      </c>
      <c r="W25" s="366">
        <f t="shared" si="29"/>
        <v>8</v>
      </c>
      <c r="X25" s="366" t="str">
        <f t="shared" si="30"/>
        <v>-</v>
      </c>
      <c r="Y25" s="106">
        <f t="shared" si="0"/>
        <v>0</v>
      </c>
      <c r="Z25" s="107">
        <f t="shared" si="1"/>
        <v>0</v>
      </c>
      <c r="AA25" s="107">
        <f t="shared" si="2"/>
        <v>0</v>
      </c>
      <c r="AB25" s="107">
        <f t="shared" si="3"/>
        <v>0</v>
      </c>
      <c r="AC25" s="108">
        <f t="shared" si="31"/>
        <v>0</v>
      </c>
      <c r="AD25" s="106">
        <f t="shared" si="4"/>
        <v>0</v>
      </c>
      <c r="AE25" s="107">
        <f t="shared" si="5"/>
        <v>0</v>
      </c>
      <c r="AF25" s="107">
        <f t="shared" si="32"/>
        <v>0</v>
      </c>
      <c r="AG25" s="368">
        <f>IF(AND($W25&gt;$O$83, SUM($AA$17:AA24)&gt;0,SUM($AG$17:AG24)&lt;$O$79),$O$82,0)</f>
        <v>64.125</v>
      </c>
      <c r="AH25" s="107">
        <f>IF(SUM($AA$18:$AA24)&gt;0,($O$79-SUM($AG$18:$AG24))*$F$83,0)</f>
        <v>23.758312499999999</v>
      </c>
      <c r="AI25" s="108">
        <f t="shared" si="33"/>
        <v>87.883312500000002</v>
      </c>
      <c r="AJ25" s="113">
        <f t="shared" si="6"/>
        <v>-87.883312500000002</v>
      </c>
      <c r="AK25" s="115">
        <f t="shared" si="34"/>
        <v>0</v>
      </c>
      <c r="AL25" s="277"/>
      <c r="AM25" s="264">
        <f t="shared" si="7"/>
        <v>-66.072757591111255</v>
      </c>
      <c r="AN25" s="278"/>
      <c r="AO25" s="266">
        <f t="shared" si="8"/>
        <v>0</v>
      </c>
      <c r="AP25" s="263">
        <f t="shared" si="9"/>
        <v>0</v>
      </c>
      <c r="AQ25" s="263">
        <f t="shared" si="10"/>
        <v>0</v>
      </c>
      <c r="AR25" s="260">
        <f t="shared" si="11"/>
        <v>0</v>
      </c>
      <c r="AS25" s="261">
        <f t="shared" si="35"/>
        <v>0</v>
      </c>
      <c r="AT25" s="260">
        <f t="shared" si="12"/>
        <v>0</v>
      </c>
      <c r="AU25" s="260">
        <f t="shared" si="13"/>
        <v>0</v>
      </c>
      <c r="AV25" s="260">
        <f t="shared" si="14"/>
        <v>0</v>
      </c>
      <c r="AW25" s="260">
        <f t="shared" si="15"/>
        <v>0</v>
      </c>
      <c r="AX25" s="368">
        <f t="shared" si="36"/>
        <v>0</v>
      </c>
      <c r="AY25" s="260">
        <f t="shared" si="16"/>
        <v>0</v>
      </c>
      <c r="AZ25" s="368">
        <f>IF(AND($W25&gt;$P$83, SUM($AQ$17:AQ24)&gt;0,SUM($AZ$17:AZ24)&lt;$P$79),$P$82,0)</f>
        <v>64.125</v>
      </c>
      <c r="BA25" s="107">
        <f>IF(SUM($AQ$18:$AQ24)&gt;0,($P$79-SUM($AZ$18:$AZ24))*$F$83,0)</f>
        <v>23.758312499999999</v>
      </c>
      <c r="BB25" s="261">
        <f t="shared" si="37"/>
        <v>87.883312500000002</v>
      </c>
      <c r="BC25" s="263">
        <f t="shared" si="38"/>
        <v>-87.883312500000002</v>
      </c>
      <c r="BD25" s="264">
        <f t="shared" si="17"/>
        <v>-66.072757591111255</v>
      </c>
      <c r="BE25" s="279"/>
      <c r="BF25" s="180">
        <f t="shared" si="39"/>
        <v>0.75182370476888039</v>
      </c>
      <c r="BH25" s="266">
        <f t="shared" si="40"/>
        <v>0</v>
      </c>
      <c r="BI25" s="266">
        <f t="shared" si="40"/>
        <v>0</v>
      </c>
      <c r="BJ25" s="263">
        <f t="shared" si="40"/>
        <v>0</v>
      </c>
      <c r="BK25" s="263">
        <f t="shared" si="40"/>
        <v>0</v>
      </c>
      <c r="BL25" s="263">
        <f t="shared" si="41"/>
        <v>0</v>
      </c>
      <c r="BM25" s="260">
        <f t="shared" si="18"/>
        <v>0</v>
      </c>
      <c r="BN25" s="264">
        <f t="shared" si="19"/>
        <v>0</v>
      </c>
      <c r="BO25" s="263">
        <f t="shared" si="20"/>
        <v>0</v>
      </c>
      <c r="BP25" s="263">
        <f t="shared" si="21"/>
        <v>0</v>
      </c>
      <c r="BQ25" s="263">
        <f t="shared" si="22"/>
        <v>0</v>
      </c>
      <c r="BR25" s="263">
        <f t="shared" si="23"/>
        <v>0</v>
      </c>
      <c r="BS25" s="263">
        <f t="shared" si="24"/>
        <v>0</v>
      </c>
      <c r="BT25" s="107">
        <f t="shared" si="42"/>
        <v>0</v>
      </c>
      <c r="BU25" s="264">
        <f t="shared" si="43"/>
        <v>0</v>
      </c>
      <c r="BV25" s="264">
        <f t="shared" si="25"/>
        <v>0</v>
      </c>
      <c r="BW25" s="265"/>
      <c r="BX25" s="361">
        <f t="shared" si="26"/>
        <v>0</v>
      </c>
      <c r="BY25" s="499">
        <f t="shared" si="27"/>
        <v>0</v>
      </c>
    </row>
    <row r="26" spans="1:77" ht="15.75" customHeight="1" x14ac:dyDescent="0.45">
      <c r="B26" s="223"/>
      <c r="C26" s="21" t="s">
        <v>149</v>
      </c>
      <c r="D26" s="191" t="s">
        <v>49</v>
      </c>
      <c r="F26" s="153">
        <v>1.6299999999999999E-2</v>
      </c>
      <c r="V26" s="294">
        <f t="shared" si="28"/>
        <v>49399</v>
      </c>
      <c r="W26" s="366">
        <f t="shared" si="29"/>
        <v>9</v>
      </c>
      <c r="X26" s="366" t="str">
        <f t="shared" si="30"/>
        <v>-</v>
      </c>
      <c r="Y26" s="106">
        <f t="shared" si="0"/>
        <v>0</v>
      </c>
      <c r="Z26" s="107">
        <f t="shared" si="1"/>
        <v>0</v>
      </c>
      <c r="AA26" s="107">
        <f t="shared" si="2"/>
        <v>0</v>
      </c>
      <c r="AB26" s="107">
        <f t="shared" si="3"/>
        <v>0</v>
      </c>
      <c r="AC26" s="108">
        <f t="shared" si="31"/>
        <v>0</v>
      </c>
      <c r="AD26" s="106">
        <f t="shared" si="4"/>
        <v>0</v>
      </c>
      <c r="AE26" s="107">
        <f t="shared" si="5"/>
        <v>0</v>
      </c>
      <c r="AF26" s="107">
        <f t="shared" si="32"/>
        <v>0</v>
      </c>
      <c r="AG26" s="368">
        <f>IF(AND($W26&gt;$O$83, SUM($AA$17:AA25)&gt;0,SUM($AG$17:AG25)&lt;$O$79),$O$82,0)</f>
        <v>64.125</v>
      </c>
      <c r="AH26" s="107">
        <f>IF(SUM($AA$18:$AA25)&gt;0,($O$79-SUM($AG$18:$AG25))*$F$83,0)</f>
        <v>22.507874999999999</v>
      </c>
      <c r="AI26" s="108">
        <f t="shared" si="33"/>
        <v>86.632874999999999</v>
      </c>
      <c r="AJ26" s="113">
        <f t="shared" si="6"/>
        <v>-86.632874999999999</v>
      </c>
      <c r="AK26" s="115">
        <f t="shared" si="34"/>
        <v>0</v>
      </c>
      <c r="AL26" s="277"/>
      <c r="AM26" s="264">
        <f t="shared" si="7"/>
        <v>-62.851152211984285</v>
      </c>
      <c r="AN26" s="278"/>
      <c r="AO26" s="266">
        <f t="shared" si="8"/>
        <v>0</v>
      </c>
      <c r="AP26" s="263">
        <f t="shared" si="9"/>
        <v>0</v>
      </c>
      <c r="AQ26" s="263">
        <f t="shared" si="10"/>
        <v>0</v>
      </c>
      <c r="AR26" s="260">
        <f t="shared" si="11"/>
        <v>0</v>
      </c>
      <c r="AS26" s="261">
        <f t="shared" si="35"/>
        <v>0</v>
      </c>
      <c r="AT26" s="260">
        <f t="shared" si="12"/>
        <v>0</v>
      </c>
      <c r="AU26" s="260">
        <f t="shared" si="13"/>
        <v>0</v>
      </c>
      <c r="AV26" s="260">
        <f t="shared" si="14"/>
        <v>0</v>
      </c>
      <c r="AW26" s="260">
        <f t="shared" si="15"/>
        <v>0</v>
      </c>
      <c r="AX26" s="368">
        <f t="shared" si="36"/>
        <v>0</v>
      </c>
      <c r="AY26" s="260">
        <f t="shared" si="16"/>
        <v>0</v>
      </c>
      <c r="AZ26" s="368">
        <f>IF(AND($W26&gt;$P$83, SUM($AQ$17:AQ25)&gt;0,SUM($AZ$17:AZ25)&lt;$P$79),$P$82,0)</f>
        <v>64.125</v>
      </c>
      <c r="BA26" s="107">
        <f>IF(SUM($AQ$18:$AQ25)&gt;0,($P$79-SUM($AZ$18:$AZ25))*$F$83,0)</f>
        <v>22.507874999999999</v>
      </c>
      <c r="BB26" s="261">
        <f t="shared" si="37"/>
        <v>86.632874999999999</v>
      </c>
      <c r="BC26" s="263">
        <f t="shared" si="38"/>
        <v>-86.632874999999999</v>
      </c>
      <c r="BD26" s="264">
        <f t="shared" si="17"/>
        <v>-62.851152211984285</v>
      </c>
      <c r="BE26" s="279"/>
      <c r="BF26" s="180">
        <f t="shared" si="39"/>
        <v>0.72548847319201037</v>
      </c>
      <c r="BH26" s="266">
        <f t="shared" si="40"/>
        <v>0</v>
      </c>
      <c r="BI26" s="266">
        <f t="shared" si="40"/>
        <v>0</v>
      </c>
      <c r="BJ26" s="263">
        <f t="shared" si="40"/>
        <v>0</v>
      </c>
      <c r="BK26" s="263">
        <f t="shared" si="40"/>
        <v>0</v>
      </c>
      <c r="BL26" s="263">
        <f t="shared" si="41"/>
        <v>0</v>
      </c>
      <c r="BM26" s="260">
        <f t="shared" si="18"/>
        <v>0</v>
      </c>
      <c r="BN26" s="264">
        <f t="shared" si="19"/>
        <v>0</v>
      </c>
      <c r="BO26" s="263">
        <f t="shared" si="20"/>
        <v>0</v>
      </c>
      <c r="BP26" s="263">
        <f t="shared" si="21"/>
        <v>0</v>
      </c>
      <c r="BQ26" s="263">
        <f t="shared" si="22"/>
        <v>0</v>
      </c>
      <c r="BR26" s="263">
        <f t="shared" si="23"/>
        <v>0</v>
      </c>
      <c r="BS26" s="263">
        <f t="shared" si="24"/>
        <v>0</v>
      </c>
      <c r="BT26" s="107">
        <f t="shared" si="42"/>
        <v>0</v>
      </c>
      <c r="BU26" s="264">
        <f t="shared" si="43"/>
        <v>0</v>
      </c>
      <c r="BV26" s="264">
        <f t="shared" si="25"/>
        <v>0</v>
      </c>
      <c r="BW26" s="265"/>
      <c r="BX26" s="361">
        <f t="shared" si="26"/>
        <v>0</v>
      </c>
      <c r="BY26" s="499">
        <f t="shared" si="27"/>
        <v>0</v>
      </c>
    </row>
    <row r="27" spans="1:77" ht="13.5" customHeight="1" x14ac:dyDescent="0.45">
      <c r="B27" s="223"/>
      <c r="C27" s="21" t="s">
        <v>58</v>
      </c>
      <c r="D27" s="191" t="s">
        <v>49</v>
      </c>
      <c r="F27" s="384">
        <f>事業費用概算!J33</f>
        <v>1.9999999999999997E-2</v>
      </c>
      <c r="V27" s="294">
        <f t="shared" si="28"/>
        <v>49765</v>
      </c>
      <c r="W27" s="366">
        <f t="shared" si="29"/>
        <v>10</v>
      </c>
      <c r="X27" s="366" t="str">
        <f t="shared" si="30"/>
        <v>-</v>
      </c>
      <c r="Y27" s="106">
        <f t="shared" si="0"/>
        <v>0</v>
      </c>
      <c r="Z27" s="107">
        <f t="shared" si="1"/>
        <v>0</v>
      </c>
      <c r="AA27" s="107">
        <f t="shared" si="2"/>
        <v>0</v>
      </c>
      <c r="AB27" s="107">
        <f t="shared" si="3"/>
        <v>0</v>
      </c>
      <c r="AC27" s="108">
        <f t="shared" si="31"/>
        <v>0</v>
      </c>
      <c r="AD27" s="106">
        <f t="shared" si="4"/>
        <v>0</v>
      </c>
      <c r="AE27" s="107">
        <f t="shared" si="5"/>
        <v>0</v>
      </c>
      <c r="AF27" s="107">
        <f t="shared" si="32"/>
        <v>0</v>
      </c>
      <c r="AG27" s="368">
        <f>IF(AND($W27&gt;$O$83, SUM($AA$17:AA26)&gt;0,SUM($AG$17:AG26)&lt;$O$79),$O$82,0)</f>
        <v>64.125</v>
      </c>
      <c r="AH27" s="107">
        <f>IF(SUM($AA$18:$AA26)&gt;0,($O$79-SUM($AG$18:$AG26))*$F$83,0)</f>
        <v>21.257437499999998</v>
      </c>
      <c r="AI27" s="108">
        <f t="shared" si="33"/>
        <v>85.382437499999995</v>
      </c>
      <c r="AJ27" s="113">
        <f t="shared" si="6"/>
        <v>-85.382437499999995</v>
      </c>
      <c r="AK27" s="115">
        <f t="shared" si="34"/>
        <v>0</v>
      </c>
      <c r="AL27" s="277"/>
      <c r="AM27" s="264">
        <f t="shared" si="7"/>
        <v>-59.774171783544574</v>
      </c>
      <c r="AN27" s="278"/>
      <c r="AO27" s="266">
        <f t="shared" si="8"/>
        <v>0</v>
      </c>
      <c r="AP27" s="263">
        <f t="shared" si="9"/>
        <v>0</v>
      </c>
      <c r="AQ27" s="263">
        <f t="shared" si="10"/>
        <v>0</v>
      </c>
      <c r="AR27" s="260">
        <f t="shared" si="11"/>
        <v>0</v>
      </c>
      <c r="AS27" s="261">
        <f t="shared" si="35"/>
        <v>0</v>
      </c>
      <c r="AT27" s="260">
        <f t="shared" si="12"/>
        <v>0</v>
      </c>
      <c r="AU27" s="260">
        <f t="shared" si="13"/>
        <v>0</v>
      </c>
      <c r="AV27" s="260">
        <f t="shared" si="14"/>
        <v>0</v>
      </c>
      <c r="AW27" s="260">
        <f t="shared" si="15"/>
        <v>0</v>
      </c>
      <c r="AX27" s="368">
        <f t="shared" si="36"/>
        <v>0</v>
      </c>
      <c r="AY27" s="260">
        <f t="shared" si="16"/>
        <v>0</v>
      </c>
      <c r="AZ27" s="368">
        <f>IF(AND($W27&gt;$P$83, SUM($AQ$17:AQ26)&gt;0,SUM($AZ$17:AZ26)&lt;$P$79),$P$82,0)</f>
        <v>64.125</v>
      </c>
      <c r="BA27" s="107">
        <f>IF(SUM($AQ$18:$AQ26)&gt;0,($P$79-SUM($AZ$18:$AZ26))*$F$83,0)</f>
        <v>21.257437499999998</v>
      </c>
      <c r="BB27" s="261">
        <f t="shared" si="37"/>
        <v>85.382437499999995</v>
      </c>
      <c r="BC27" s="263">
        <f t="shared" si="38"/>
        <v>-85.382437499999995</v>
      </c>
      <c r="BD27" s="264">
        <f t="shared" si="17"/>
        <v>-59.774171783544574</v>
      </c>
      <c r="BE27" s="279"/>
      <c r="BF27" s="180">
        <f t="shared" si="39"/>
        <v>0.7000757243964203</v>
      </c>
      <c r="BH27" s="266">
        <f t="shared" si="40"/>
        <v>0</v>
      </c>
      <c r="BI27" s="266">
        <f t="shared" si="40"/>
        <v>0</v>
      </c>
      <c r="BJ27" s="263">
        <f t="shared" si="40"/>
        <v>0</v>
      </c>
      <c r="BK27" s="263">
        <f t="shared" si="40"/>
        <v>0</v>
      </c>
      <c r="BL27" s="263">
        <f t="shared" si="41"/>
        <v>0</v>
      </c>
      <c r="BM27" s="260">
        <f t="shared" si="18"/>
        <v>0</v>
      </c>
      <c r="BN27" s="264">
        <f t="shared" si="19"/>
        <v>0</v>
      </c>
      <c r="BO27" s="263">
        <f t="shared" si="20"/>
        <v>0</v>
      </c>
      <c r="BP27" s="263">
        <f t="shared" si="21"/>
        <v>0</v>
      </c>
      <c r="BQ27" s="263">
        <f t="shared" si="22"/>
        <v>0</v>
      </c>
      <c r="BR27" s="263">
        <f t="shared" si="23"/>
        <v>0</v>
      </c>
      <c r="BS27" s="263">
        <f t="shared" si="24"/>
        <v>0</v>
      </c>
      <c r="BT27" s="107">
        <f t="shared" si="42"/>
        <v>0</v>
      </c>
      <c r="BU27" s="264">
        <f t="shared" si="43"/>
        <v>0</v>
      </c>
      <c r="BV27" s="264">
        <f t="shared" si="25"/>
        <v>0</v>
      </c>
      <c r="BW27" s="265"/>
      <c r="BX27" s="361">
        <f t="shared" si="26"/>
        <v>0</v>
      </c>
      <c r="BY27" s="499">
        <f t="shared" si="27"/>
        <v>0</v>
      </c>
    </row>
    <row r="28" spans="1:77" ht="13.5" customHeight="1" x14ac:dyDescent="0.45">
      <c r="B28" s="223"/>
      <c r="F28" s="385"/>
      <c r="V28" s="294">
        <f t="shared" si="28"/>
        <v>50130</v>
      </c>
      <c r="W28" s="366">
        <f t="shared" si="29"/>
        <v>11</v>
      </c>
      <c r="X28" s="366" t="str">
        <f t="shared" si="30"/>
        <v>-</v>
      </c>
      <c r="Y28" s="106">
        <f t="shared" si="0"/>
        <v>0</v>
      </c>
      <c r="Z28" s="107">
        <f t="shared" si="1"/>
        <v>0</v>
      </c>
      <c r="AA28" s="107">
        <f t="shared" si="2"/>
        <v>0</v>
      </c>
      <c r="AB28" s="107">
        <f t="shared" si="3"/>
        <v>0</v>
      </c>
      <c r="AC28" s="108">
        <f t="shared" si="31"/>
        <v>0</v>
      </c>
      <c r="AD28" s="106">
        <f t="shared" si="4"/>
        <v>0</v>
      </c>
      <c r="AE28" s="107">
        <f t="shared" si="5"/>
        <v>0</v>
      </c>
      <c r="AF28" s="107">
        <f t="shared" si="32"/>
        <v>0</v>
      </c>
      <c r="AG28" s="368">
        <f>IF(AND($W28&gt;$O$83, SUM($AA$17:AA27)&gt;0,SUM($AG$17:AG27)&lt;$O$79),$O$82,0)</f>
        <v>64.125</v>
      </c>
      <c r="AH28" s="107">
        <f>IF(SUM($AA$18:$AA27)&gt;0,($O$79-SUM($AG$18:$AG27))*$F$83,0)</f>
        <v>20.007000000000001</v>
      </c>
      <c r="AI28" s="108">
        <f t="shared" si="33"/>
        <v>84.132000000000005</v>
      </c>
      <c r="AJ28" s="113">
        <f t="shared" si="6"/>
        <v>-84.132000000000005</v>
      </c>
      <c r="AK28" s="115">
        <f t="shared" si="34"/>
        <v>0</v>
      </c>
      <c r="AL28" s="277"/>
      <c r="AM28" s="264">
        <f t="shared" si="7"/>
        <v>-56.83563721404964</v>
      </c>
      <c r="AN28" s="278"/>
      <c r="AO28" s="266">
        <f t="shared" si="8"/>
        <v>0</v>
      </c>
      <c r="AP28" s="263">
        <f t="shared" si="9"/>
        <v>0</v>
      </c>
      <c r="AQ28" s="263">
        <f t="shared" si="10"/>
        <v>0</v>
      </c>
      <c r="AR28" s="260">
        <f t="shared" si="11"/>
        <v>0</v>
      </c>
      <c r="AS28" s="261">
        <f t="shared" si="35"/>
        <v>0</v>
      </c>
      <c r="AT28" s="260">
        <f t="shared" si="12"/>
        <v>0</v>
      </c>
      <c r="AU28" s="260">
        <f t="shared" si="13"/>
        <v>0</v>
      </c>
      <c r="AV28" s="260">
        <f t="shared" si="14"/>
        <v>0</v>
      </c>
      <c r="AW28" s="260">
        <f t="shared" si="15"/>
        <v>0</v>
      </c>
      <c r="AX28" s="368">
        <f t="shared" si="36"/>
        <v>0</v>
      </c>
      <c r="AY28" s="260">
        <f t="shared" si="16"/>
        <v>0</v>
      </c>
      <c r="AZ28" s="368">
        <f>IF(AND($W28&gt;$P$83, SUM($AQ$17:AQ27)&gt;0,SUM($AZ$17:AZ27)&lt;$P$79),$P$82,0)</f>
        <v>64.125</v>
      </c>
      <c r="BA28" s="107">
        <f>IF(SUM($AQ$18:$AQ27)&gt;0,($P$79-SUM($AZ$18:$AZ27))*$F$83,0)</f>
        <v>20.007000000000001</v>
      </c>
      <c r="BB28" s="261">
        <f t="shared" si="37"/>
        <v>84.132000000000005</v>
      </c>
      <c r="BC28" s="263">
        <f t="shared" si="38"/>
        <v>-84.132000000000005</v>
      </c>
      <c r="BD28" s="264">
        <f t="shared" si="17"/>
        <v>-56.83563721404964</v>
      </c>
      <c r="BE28" s="279"/>
      <c r="BF28" s="180">
        <f t="shared" si="39"/>
        <v>0.67555314522476151</v>
      </c>
      <c r="BH28" s="266">
        <f t="shared" si="40"/>
        <v>0</v>
      </c>
      <c r="BI28" s="266">
        <f t="shared" si="40"/>
        <v>0</v>
      </c>
      <c r="BJ28" s="263">
        <f t="shared" si="40"/>
        <v>0</v>
      </c>
      <c r="BK28" s="263">
        <f t="shared" si="40"/>
        <v>0</v>
      </c>
      <c r="BL28" s="263">
        <f t="shared" si="41"/>
        <v>0</v>
      </c>
      <c r="BM28" s="260">
        <f t="shared" si="18"/>
        <v>0</v>
      </c>
      <c r="BN28" s="264">
        <f t="shared" si="19"/>
        <v>0</v>
      </c>
      <c r="BO28" s="263">
        <f t="shared" si="20"/>
        <v>0</v>
      </c>
      <c r="BP28" s="263">
        <f t="shared" si="21"/>
        <v>0</v>
      </c>
      <c r="BQ28" s="263">
        <f t="shared" si="22"/>
        <v>0</v>
      </c>
      <c r="BR28" s="263">
        <f t="shared" si="23"/>
        <v>0</v>
      </c>
      <c r="BS28" s="263">
        <f t="shared" si="24"/>
        <v>0</v>
      </c>
      <c r="BT28" s="107">
        <f t="shared" si="42"/>
        <v>0</v>
      </c>
      <c r="BU28" s="264">
        <f t="shared" si="43"/>
        <v>0</v>
      </c>
      <c r="BV28" s="264">
        <f t="shared" si="25"/>
        <v>0</v>
      </c>
      <c r="BW28" s="265"/>
      <c r="BX28" s="361">
        <f t="shared" si="26"/>
        <v>0</v>
      </c>
      <c r="BY28" s="499">
        <f t="shared" si="27"/>
        <v>0</v>
      </c>
    </row>
    <row r="29" spans="1:77" ht="15.75" customHeight="1" thickBot="1" x14ac:dyDescent="0.35">
      <c r="A29" s="210" t="s">
        <v>17</v>
      </c>
      <c r="B29" s="225"/>
      <c r="C29" s="202"/>
      <c r="D29" s="203"/>
      <c r="E29" s="202"/>
      <c r="F29" s="202"/>
      <c r="G29" s="202"/>
      <c r="H29" s="204"/>
      <c r="I29" s="219" t="s">
        <v>150</v>
      </c>
      <c r="J29" s="225"/>
      <c r="K29" s="338"/>
      <c r="L29" s="202"/>
      <c r="M29" s="202"/>
      <c r="N29" s="203"/>
      <c r="O29" s="202"/>
      <c r="P29" s="202"/>
      <c r="Q29" s="202"/>
      <c r="R29" s="202"/>
      <c r="S29" s="202"/>
      <c r="T29" s="203"/>
      <c r="U29" s="202"/>
      <c r="V29" s="294">
        <f t="shared" si="28"/>
        <v>50495</v>
      </c>
      <c r="W29" s="366">
        <f t="shared" si="29"/>
        <v>12</v>
      </c>
      <c r="X29" s="366" t="str">
        <f t="shared" si="30"/>
        <v>-</v>
      </c>
      <c r="Y29" s="106">
        <f t="shared" si="0"/>
        <v>0</v>
      </c>
      <c r="Z29" s="107">
        <f t="shared" si="1"/>
        <v>0</v>
      </c>
      <c r="AA29" s="107">
        <f t="shared" si="2"/>
        <v>0</v>
      </c>
      <c r="AB29" s="107">
        <f t="shared" si="3"/>
        <v>0</v>
      </c>
      <c r="AC29" s="108">
        <f t="shared" si="31"/>
        <v>0</v>
      </c>
      <c r="AD29" s="106">
        <f t="shared" si="4"/>
        <v>0</v>
      </c>
      <c r="AE29" s="107">
        <f t="shared" si="5"/>
        <v>0</v>
      </c>
      <c r="AF29" s="107">
        <f t="shared" si="32"/>
        <v>0</v>
      </c>
      <c r="AG29" s="368">
        <f>IF(AND($W29&gt;$O$83, SUM($AA$17:AA28)&gt;0,SUM($AG$17:AG28)&lt;$O$79),$O$82,0)</f>
        <v>64.125</v>
      </c>
      <c r="AH29" s="107">
        <f>IF(SUM($AA$18:$AA28)&gt;0,($O$79-SUM($AG$18:$AG28))*$F$83,0)</f>
        <v>18.756562500000001</v>
      </c>
      <c r="AI29" s="108">
        <f t="shared" si="33"/>
        <v>82.881562500000001</v>
      </c>
      <c r="AJ29" s="113">
        <f t="shared" si="6"/>
        <v>-82.881562500000001</v>
      </c>
      <c r="AK29" s="115">
        <f t="shared" si="34"/>
        <v>0</v>
      </c>
      <c r="AL29" s="277"/>
      <c r="AM29" s="264">
        <f t="shared" si="7"/>
        <v>-54.02962484610407</v>
      </c>
      <c r="AN29" s="278"/>
      <c r="AO29" s="266">
        <f t="shared" si="8"/>
        <v>0</v>
      </c>
      <c r="AP29" s="263">
        <f t="shared" si="9"/>
        <v>0</v>
      </c>
      <c r="AQ29" s="263">
        <f t="shared" si="10"/>
        <v>0</v>
      </c>
      <c r="AR29" s="260">
        <f t="shared" si="11"/>
        <v>0</v>
      </c>
      <c r="AS29" s="261">
        <f t="shared" si="35"/>
        <v>0</v>
      </c>
      <c r="AT29" s="260">
        <f t="shared" si="12"/>
        <v>0</v>
      </c>
      <c r="AU29" s="260">
        <f t="shared" si="13"/>
        <v>0</v>
      </c>
      <c r="AV29" s="260">
        <f t="shared" si="14"/>
        <v>0</v>
      </c>
      <c r="AW29" s="260">
        <f t="shared" si="15"/>
        <v>0</v>
      </c>
      <c r="AX29" s="368">
        <f t="shared" si="36"/>
        <v>0</v>
      </c>
      <c r="AY29" s="260">
        <f t="shared" si="16"/>
        <v>0</v>
      </c>
      <c r="AZ29" s="368">
        <f>IF(AND($W29&gt;$P$83, SUM($AQ$17:AQ28)&gt;0,SUM($AZ$17:AZ28)&lt;$P$79),$P$82,0)</f>
        <v>64.125</v>
      </c>
      <c r="BA29" s="107">
        <f>IF(SUM($AQ$18:$AQ28)&gt;0,($P$79-SUM($AZ$18:$AZ28))*$F$83,0)</f>
        <v>18.756562500000001</v>
      </c>
      <c r="BB29" s="261">
        <f t="shared" si="37"/>
        <v>82.881562500000001</v>
      </c>
      <c r="BC29" s="263">
        <f t="shared" si="38"/>
        <v>-82.881562500000001</v>
      </c>
      <c r="BD29" s="264">
        <f t="shared" si="17"/>
        <v>-54.02962484610407</v>
      </c>
      <c r="BE29" s="279"/>
      <c r="BF29" s="180">
        <f t="shared" si="39"/>
        <v>0.65188955440004004</v>
      </c>
      <c r="BH29" s="266">
        <f t="shared" si="40"/>
        <v>0</v>
      </c>
      <c r="BI29" s="266">
        <f t="shared" si="40"/>
        <v>0</v>
      </c>
      <c r="BJ29" s="263">
        <f t="shared" si="40"/>
        <v>0</v>
      </c>
      <c r="BK29" s="263">
        <f t="shared" si="40"/>
        <v>0</v>
      </c>
      <c r="BL29" s="263">
        <f t="shared" si="41"/>
        <v>0</v>
      </c>
      <c r="BM29" s="260">
        <f t="shared" si="18"/>
        <v>0</v>
      </c>
      <c r="BN29" s="264">
        <f t="shared" si="19"/>
        <v>0</v>
      </c>
      <c r="BO29" s="263">
        <f t="shared" si="20"/>
        <v>0</v>
      </c>
      <c r="BP29" s="263">
        <f t="shared" si="21"/>
        <v>0</v>
      </c>
      <c r="BQ29" s="263">
        <f t="shared" si="22"/>
        <v>0</v>
      </c>
      <c r="BR29" s="263">
        <f t="shared" si="23"/>
        <v>0</v>
      </c>
      <c r="BS29" s="263">
        <f t="shared" si="24"/>
        <v>0</v>
      </c>
      <c r="BT29" s="107">
        <f t="shared" si="42"/>
        <v>0</v>
      </c>
      <c r="BU29" s="264">
        <f t="shared" si="43"/>
        <v>0</v>
      </c>
      <c r="BV29" s="264">
        <f t="shared" si="25"/>
        <v>0</v>
      </c>
      <c r="BW29" s="265"/>
      <c r="BX29" s="361">
        <f t="shared" si="26"/>
        <v>0</v>
      </c>
      <c r="BY29" s="499">
        <f t="shared" si="27"/>
        <v>0</v>
      </c>
    </row>
    <row r="30" spans="1:77" ht="13.5" customHeight="1" x14ac:dyDescent="0.45">
      <c r="B30" s="223"/>
      <c r="F30" s="385"/>
      <c r="V30" s="294">
        <f t="shared" si="28"/>
        <v>50860</v>
      </c>
      <c r="W30" s="366">
        <f t="shared" si="29"/>
        <v>13</v>
      </c>
      <c r="X30" s="366" t="str">
        <f t="shared" si="30"/>
        <v>-</v>
      </c>
      <c r="Y30" s="106">
        <f t="shared" si="0"/>
        <v>0</v>
      </c>
      <c r="Z30" s="107">
        <f t="shared" si="1"/>
        <v>0</v>
      </c>
      <c r="AA30" s="107">
        <f t="shared" si="2"/>
        <v>0</v>
      </c>
      <c r="AB30" s="107">
        <f t="shared" si="3"/>
        <v>0</v>
      </c>
      <c r="AC30" s="108">
        <f t="shared" si="31"/>
        <v>0</v>
      </c>
      <c r="AD30" s="106">
        <f t="shared" si="4"/>
        <v>0</v>
      </c>
      <c r="AE30" s="107">
        <f t="shared" si="5"/>
        <v>0</v>
      </c>
      <c r="AF30" s="107">
        <f t="shared" si="32"/>
        <v>0</v>
      </c>
      <c r="AG30" s="368">
        <f>IF(AND($W30&gt;$O$83, SUM($AA$17:AA29)&gt;0,SUM($AG$17:AG29)&lt;$O$79),$O$82,0)</f>
        <v>64.125</v>
      </c>
      <c r="AH30" s="107">
        <f>IF(SUM($AA$18:$AA29)&gt;0,($O$79-SUM($AG$18:$AG29))*$F$83,0)</f>
        <v>17.506125000000001</v>
      </c>
      <c r="AI30" s="108">
        <f t="shared" si="33"/>
        <v>81.631124999999997</v>
      </c>
      <c r="AJ30" s="113">
        <f t="shared" si="6"/>
        <v>-81.631124999999997</v>
      </c>
      <c r="AK30" s="115">
        <f t="shared" si="34"/>
        <v>0</v>
      </c>
      <c r="AL30" s="277"/>
      <c r="AM30" s="264">
        <f t="shared" si="7"/>
        <v>-51.350456143417894</v>
      </c>
      <c r="AN30" s="278"/>
      <c r="AO30" s="266">
        <f t="shared" si="8"/>
        <v>0</v>
      </c>
      <c r="AP30" s="263">
        <f t="shared" si="9"/>
        <v>0</v>
      </c>
      <c r="AQ30" s="263">
        <f t="shared" si="10"/>
        <v>0</v>
      </c>
      <c r="AR30" s="260">
        <f t="shared" si="11"/>
        <v>0</v>
      </c>
      <c r="AS30" s="261">
        <f t="shared" si="35"/>
        <v>0</v>
      </c>
      <c r="AT30" s="260">
        <f t="shared" si="12"/>
        <v>0</v>
      </c>
      <c r="AU30" s="260">
        <f t="shared" si="13"/>
        <v>0</v>
      </c>
      <c r="AV30" s="260">
        <f t="shared" si="14"/>
        <v>0</v>
      </c>
      <c r="AW30" s="260">
        <f t="shared" si="15"/>
        <v>0</v>
      </c>
      <c r="AX30" s="368">
        <f t="shared" si="36"/>
        <v>0</v>
      </c>
      <c r="AY30" s="260">
        <f t="shared" si="16"/>
        <v>0</v>
      </c>
      <c r="AZ30" s="368">
        <f>IF(AND($W30&gt;$P$83, SUM($AQ$17:AQ29)&gt;0,SUM($AZ$17:AZ29)&lt;$P$79),$P$82,0)</f>
        <v>64.125</v>
      </c>
      <c r="BA30" s="107">
        <f>IF(SUM($AQ$18:$AQ29)&gt;0,($P$79-SUM($AZ$18:$AZ29))*$F$83,0)</f>
        <v>17.506125000000001</v>
      </c>
      <c r="BB30" s="261">
        <f t="shared" si="37"/>
        <v>81.631124999999997</v>
      </c>
      <c r="BC30" s="263">
        <f t="shared" si="38"/>
        <v>-81.631124999999997</v>
      </c>
      <c r="BD30" s="264">
        <f t="shared" si="17"/>
        <v>-51.350456143417894</v>
      </c>
      <c r="BE30" s="279"/>
      <c r="BF30" s="180">
        <f t="shared" si="39"/>
        <v>0.62905486287758372</v>
      </c>
      <c r="BH30" s="266">
        <f t="shared" si="40"/>
        <v>0</v>
      </c>
      <c r="BI30" s="266">
        <f t="shared" si="40"/>
        <v>0</v>
      </c>
      <c r="BJ30" s="263">
        <f t="shared" si="40"/>
        <v>0</v>
      </c>
      <c r="BK30" s="263">
        <f t="shared" si="40"/>
        <v>0</v>
      </c>
      <c r="BL30" s="263">
        <f t="shared" si="41"/>
        <v>0</v>
      </c>
      <c r="BM30" s="260">
        <f t="shared" si="18"/>
        <v>0</v>
      </c>
      <c r="BN30" s="264">
        <f t="shared" si="19"/>
        <v>0</v>
      </c>
      <c r="BO30" s="263">
        <f t="shared" si="20"/>
        <v>0</v>
      </c>
      <c r="BP30" s="263">
        <f t="shared" si="21"/>
        <v>0</v>
      </c>
      <c r="BQ30" s="263">
        <f t="shared" si="22"/>
        <v>0</v>
      </c>
      <c r="BR30" s="263">
        <f t="shared" si="23"/>
        <v>0</v>
      </c>
      <c r="BS30" s="263">
        <f t="shared" si="24"/>
        <v>0</v>
      </c>
      <c r="BT30" s="107">
        <f t="shared" si="42"/>
        <v>0</v>
      </c>
      <c r="BU30" s="264">
        <f t="shared" si="43"/>
        <v>0</v>
      </c>
      <c r="BV30" s="264">
        <f t="shared" si="25"/>
        <v>0</v>
      </c>
      <c r="BW30" s="265"/>
      <c r="BX30" s="361">
        <f t="shared" si="26"/>
        <v>0</v>
      </c>
      <c r="BY30" s="499">
        <f t="shared" si="27"/>
        <v>0</v>
      </c>
    </row>
    <row r="31" spans="1:77" ht="13.5" customHeight="1" x14ac:dyDescent="0.3">
      <c r="B31" s="223" t="s">
        <v>151</v>
      </c>
      <c r="E31" s="21" t="s">
        <v>55</v>
      </c>
      <c r="F31" s="21" t="s">
        <v>98</v>
      </c>
      <c r="I31" s="214"/>
      <c r="J31" s="223" t="s">
        <v>151</v>
      </c>
      <c r="O31" s="21" t="s">
        <v>55</v>
      </c>
      <c r="P31" s="21" t="s">
        <v>98</v>
      </c>
      <c r="V31" s="294">
        <f t="shared" si="28"/>
        <v>51226</v>
      </c>
      <c r="W31" s="366">
        <f t="shared" si="29"/>
        <v>14</v>
      </c>
      <c r="X31" s="366" t="str">
        <f t="shared" si="30"/>
        <v>-</v>
      </c>
      <c r="Y31" s="106">
        <f t="shared" si="0"/>
        <v>0</v>
      </c>
      <c r="Z31" s="107">
        <f t="shared" si="1"/>
        <v>0</v>
      </c>
      <c r="AA31" s="107">
        <f t="shared" si="2"/>
        <v>0</v>
      </c>
      <c r="AB31" s="107">
        <f t="shared" si="3"/>
        <v>0</v>
      </c>
      <c r="AC31" s="108">
        <f t="shared" si="31"/>
        <v>0</v>
      </c>
      <c r="AD31" s="106">
        <f t="shared" si="4"/>
        <v>0</v>
      </c>
      <c r="AE31" s="107">
        <f t="shared" si="5"/>
        <v>0</v>
      </c>
      <c r="AF31" s="107">
        <f t="shared" si="32"/>
        <v>0</v>
      </c>
      <c r="AG31" s="368">
        <f>IF(AND($W31&gt;$O$83, SUM($AA$17:AA30)&gt;0,SUM($AG$17:AG30)&lt;$O$79),$O$82,0)</f>
        <v>64.125</v>
      </c>
      <c r="AH31" s="107">
        <f>IF(SUM($AA$18:$AA30)&gt;0,($O$79-SUM($AG$18:$AG30))*$F$83,0)</f>
        <v>16.255687500000001</v>
      </c>
      <c r="AI31" s="108">
        <f t="shared" si="33"/>
        <v>80.380687499999993</v>
      </c>
      <c r="AJ31" s="113">
        <f t="shared" si="6"/>
        <v>-80.380687499999993</v>
      </c>
      <c r="AK31" s="115">
        <f t="shared" si="34"/>
        <v>0</v>
      </c>
      <c r="AL31" s="277"/>
      <c r="AM31" s="264">
        <f t="shared" si="7"/>
        <v>-48.792687786662555</v>
      </c>
      <c r="AN31" s="278"/>
      <c r="AO31" s="266">
        <f t="shared" si="8"/>
        <v>0</v>
      </c>
      <c r="AP31" s="263">
        <f t="shared" si="9"/>
        <v>0</v>
      </c>
      <c r="AQ31" s="263">
        <f t="shared" si="10"/>
        <v>0</v>
      </c>
      <c r="AR31" s="260">
        <f t="shared" si="11"/>
        <v>0</v>
      </c>
      <c r="AS31" s="261">
        <f t="shared" si="35"/>
        <v>0</v>
      </c>
      <c r="AT31" s="260">
        <f t="shared" si="12"/>
        <v>0</v>
      </c>
      <c r="AU31" s="260">
        <f t="shared" si="13"/>
        <v>0</v>
      </c>
      <c r="AV31" s="260">
        <f t="shared" si="14"/>
        <v>0</v>
      </c>
      <c r="AW31" s="260">
        <f t="shared" si="15"/>
        <v>0</v>
      </c>
      <c r="AX31" s="368">
        <f t="shared" si="36"/>
        <v>0</v>
      </c>
      <c r="AY31" s="260">
        <f t="shared" si="16"/>
        <v>0</v>
      </c>
      <c r="AZ31" s="368">
        <f>IF(AND($W31&gt;$P$83, SUM($AQ$17:AQ30)&gt;0,SUM($AZ$17:AZ30)&lt;$P$79),$P$82,0)</f>
        <v>64.125</v>
      </c>
      <c r="BA31" s="107">
        <f>IF(SUM($AQ$18:$AQ30)&gt;0,($P$79-SUM($AZ$18:$AZ30))*$F$83,0)</f>
        <v>16.255687500000001</v>
      </c>
      <c r="BB31" s="261">
        <f t="shared" si="37"/>
        <v>80.380687499999993</v>
      </c>
      <c r="BC31" s="263">
        <f t="shared" si="38"/>
        <v>-80.380687499999993</v>
      </c>
      <c r="BD31" s="264">
        <f t="shared" si="17"/>
        <v>-48.792687786662555</v>
      </c>
      <c r="BE31" s="279"/>
      <c r="BF31" s="180">
        <f t="shared" si="39"/>
        <v>0.60702003558581852</v>
      </c>
      <c r="BH31" s="266">
        <f t="shared" si="40"/>
        <v>0</v>
      </c>
      <c r="BI31" s="266">
        <f t="shared" si="40"/>
        <v>0</v>
      </c>
      <c r="BJ31" s="263">
        <f t="shared" si="40"/>
        <v>0</v>
      </c>
      <c r="BK31" s="263">
        <f t="shared" si="40"/>
        <v>0</v>
      </c>
      <c r="BL31" s="263">
        <f t="shared" si="41"/>
        <v>0</v>
      </c>
      <c r="BM31" s="260">
        <f t="shared" si="18"/>
        <v>0</v>
      </c>
      <c r="BN31" s="264">
        <f t="shared" si="19"/>
        <v>0</v>
      </c>
      <c r="BO31" s="263">
        <f t="shared" si="20"/>
        <v>0</v>
      </c>
      <c r="BP31" s="263">
        <f t="shared" si="21"/>
        <v>0</v>
      </c>
      <c r="BQ31" s="263">
        <f t="shared" si="22"/>
        <v>0</v>
      </c>
      <c r="BR31" s="263">
        <f t="shared" si="23"/>
        <v>0</v>
      </c>
      <c r="BS31" s="263">
        <f t="shared" si="24"/>
        <v>0</v>
      </c>
      <c r="BT31" s="107">
        <f t="shared" si="42"/>
        <v>0</v>
      </c>
      <c r="BU31" s="264">
        <f t="shared" si="43"/>
        <v>0</v>
      </c>
      <c r="BV31" s="264">
        <f t="shared" si="25"/>
        <v>0</v>
      </c>
      <c r="BW31" s="265"/>
      <c r="BX31" s="361">
        <f t="shared" si="26"/>
        <v>0</v>
      </c>
      <c r="BY31" s="499">
        <f t="shared" si="27"/>
        <v>0</v>
      </c>
    </row>
    <row r="32" spans="1:77" ht="15.75" customHeight="1" x14ac:dyDescent="0.45">
      <c r="C32" s="21" t="s">
        <v>153</v>
      </c>
      <c r="D32" s="191" t="s">
        <v>21</v>
      </c>
      <c r="E32" s="311">
        <f>事業費用概算!G6</f>
        <v>0</v>
      </c>
      <c r="F32" s="429">
        <f>E32</f>
        <v>0</v>
      </c>
      <c r="K32" s="21" t="s">
        <v>154</v>
      </c>
      <c r="N32" s="191" t="s">
        <v>21</v>
      </c>
      <c r="O32" s="168">
        <f>E33*$F$65+E32</f>
        <v>2850</v>
      </c>
      <c r="P32" s="168">
        <f>SUM(F32:F33)*(1-F66)</f>
        <v>2850</v>
      </c>
      <c r="Q32" s="21" t="s">
        <v>155</v>
      </c>
      <c r="V32" s="294">
        <f t="shared" si="28"/>
        <v>51591</v>
      </c>
      <c r="W32" s="366">
        <f t="shared" si="29"/>
        <v>15</v>
      </c>
      <c r="X32" s="366" t="str">
        <f t="shared" si="30"/>
        <v>-</v>
      </c>
      <c r="Y32" s="106">
        <f t="shared" si="0"/>
        <v>0</v>
      </c>
      <c r="Z32" s="107">
        <f t="shared" si="1"/>
        <v>0</v>
      </c>
      <c r="AA32" s="107">
        <f t="shared" si="2"/>
        <v>0</v>
      </c>
      <c r="AB32" s="107">
        <f t="shared" si="3"/>
        <v>0</v>
      </c>
      <c r="AC32" s="108">
        <f t="shared" si="31"/>
        <v>0</v>
      </c>
      <c r="AD32" s="106">
        <f t="shared" si="4"/>
        <v>0</v>
      </c>
      <c r="AE32" s="107">
        <f t="shared" si="5"/>
        <v>0</v>
      </c>
      <c r="AF32" s="107">
        <f t="shared" si="32"/>
        <v>0</v>
      </c>
      <c r="AG32" s="368">
        <f>IF(AND($W32&gt;$O$83, SUM($AA$17:AA31)&gt;0,SUM($AG$17:AG31)&lt;$O$79),$O$82,0)</f>
        <v>64.125</v>
      </c>
      <c r="AH32" s="107">
        <f>IF(SUM($AA$18:$AA31)&gt;0,($O$79-SUM($AG$18:$AG31))*$F$83,0)</f>
        <v>15.00525</v>
      </c>
      <c r="AI32" s="108">
        <f t="shared" si="33"/>
        <v>79.130250000000004</v>
      </c>
      <c r="AJ32" s="113">
        <f t="shared" si="6"/>
        <v>-79.130250000000004</v>
      </c>
      <c r="AK32" s="115">
        <f t="shared" si="34"/>
        <v>0</v>
      </c>
      <c r="AL32" s="277"/>
      <c r="AM32" s="264">
        <f t="shared" si="7"/>
        <v>-46.351102162418911</v>
      </c>
      <c r="AN32" s="278"/>
      <c r="AO32" s="266">
        <f t="shared" si="8"/>
        <v>0</v>
      </c>
      <c r="AP32" s="263">
        <f t="shared" si="9"/>
        <v>0</v>
      </c>
      <c r="AQ32" s="263">
        <f t="shared" si="10"/>
        <v>0</v>
      </c>
      <c r="AR32" s="260">
        <f t="shared" si="11"/>
        <v>0</v>
      </c>
      <c r="AS32" s="261">
        <f t="shared" si="35"/>
        <v>0</v>
      </c>
      <c r="AT32" s="260">
        <f t="shared" si="12"/>
        <v>0</v>
      </c>
      <c r="AU32" s="260">
        <f t="shared" si="13"/>
        <v>0</v>
      </c>
      <c r="AV32" s="260">
        <f t="shared" si="14"/>
        <v>0</v>
      </c>
      <c r="AW32" s="260">
        <f t="shared" si="15"/>
        <v>0</v>
      </c>
      <c r="AX32" s="368">
        <f t="shared" si="36"/>
        <v>0</v>
      </c>
      <c r="AY32" s="260">
        <f t="shared" si="16"/>
        <v>0</v>
      </c>
      <c r="AZ32" s="368">
        <f>IF(AND($W32&gt;$P$83, SUM($AQ$17:AQ31)&gt;0,SUM($AZ$17:AZ31)&lt;$P$79),$P$82,0)</f>
        <v>64.125</v>
      </c>
      <c r="BA32" s="107">
        <f>IF(SUM($AQ$18:$AQ31)&gt;0,($P$79-SUM($AZ$18:$AZ31))*$F$83,0)</f>
        <v>15.00525</v>
      </c>
      <c r="BB32" s="261">
        <f t="shared" si="37"/>
        <v>79.130250000000004</v>
      </c>
      <c r="BC32" s="263">
        <f t="shared" si="38"/>
        <v>-79.130250000000004</v>
      </c>
      <c r="BD32" s="264">
        <f t="shared" si="17"/>
        <v>-46.351102162418911</v>
      </c>
      <c r="BE32" s="279"/>
      <c r="BF32" s="180">
        <f t="shared" si="39"/>
        <v>0.58575705450720694</v>
      </c>
      <c r="BH32" s="266">
        <f t="shared" si="40"/>
        <v>0</v>
      </c>
      <c r="BI32" s="266">
        <f t="shared" si="40"/>
        <v>0</v>
      </c>
      <c r="BJ32" s="263">
        <f t="shared" si="40"/>
        <v>0</v>
      </c>
      <c r="BK32" s="263">
        <f t="shared" si="40"/>
        <v>0</v>
      </c>
      <c r="BL32" s="263">
        <f t="shared" si="41"/>
        <v>0</v>
      </c>
      <c r="BM32" s="260">
        <f t="shared" si="18"/>
        <v>0</v>
      </c>
      <c r="BN32" s="264">
        <f t="shared" si="19"/>
        <v>0</v>
      </c>
      <c r="BO32" s="263">
        <f t="shared" si="20"/>
        <v>0</v>
      </c>
      <c r="BP32" s="263">
        <f t="shared" si="21"/>
        <v>0</v>
      </c>
      <c r="BQ32" s="263">
        <f t="shared" si="22"/>
        <v>0</v>
      </c>
      <c r="BR32" s="263">
        <f t="shared" si="23"/>
        <v>0</v>
      </c>
      <c r="BS32" s="263">
        <f t="shared" si="24"/>
        <v>0</v>
      </c>
      <c r="BT32" s="107">
        <f t="shared" si="42"/>
        <v>0</v>
      </c>
      <c r="BU32" s="264">
        <f t="shared" si="43"/>
        <v>0</v>
      </c>
      <c r="BV32" s="264">
        <f t="shared" si="25"/>
        <v>0</v>
      </c>
      <c r="BW32" s="265"/>
      <c r="BX32" s="361">
        <f t="shared" si="26"/>
        <v>0</v>
      </c>
      <c r="BY32" s="499">
        <f t="shared" si="27"/>
        <v>0</v>
      </c>
    </row>
    <row r="33" spans="2:77" ht="15.75" customHeight="1" x14ac:dyDescent="0.45">
      <c r="C33" s="21" t="s">
        <v>156</v>
      </c>
      <c r="D33" s="191" t="s">
        <v>21</v>
      </c>
      <c r="E33" s="311">
        <f>事業費用概算!G7</f>
        <v>3000</v>
      </c>
      <c r="F33" s="429">
        <f>E33</f>
        <v>3000</v>
      </c>
      <c r="K33" s="119" t="s">
        <v>157</v>
      </c>
      <c r="M33" s="119"/>
      <c r="N33" s="191" t="s">
        <v>21</v>
      </c>
      <c r="O33" s="147">
        <f>O32*E35</f>
        <v>2850</v>
      </c>
      <c r="P33" s="147">
        <f>$P$32*F35</f>
        <v>2850</v>
      </c>
      <c r="V33" s="294">
        <f t="shared" si="28"/>
        <v>51956</v>
      </c>
      <c r="W33" s="366">
        <f t="shared" si="29"/>
        <v>16</v>
      </c>
      <c r="X33" s="366" t="str">
        <f t="shared" si="30"/>
        <v>-</v>
      </c>
      <c r="Y33" s="106">
        <f t="shared" si="0"/>
        <v>0</v>
      </c>
      <c r="Z33" s="107">
        <f t="shared" si="1"/>
        <v>0</v>
      </c>
      <c r="AA33" s="107">
        <f t="shared" si="2"/>
        <v>0</v>
      </c>
      <c r="AB33" s="107">
        <f t="shared" si="3"/>
        <v>0</v>
      </c>
      <c r="AC33" s="108">
        <f t="shared" si="31"/>
        <v>0</v>
      </c>
      <c r="AD33" s="106">
        <f t="shared" si="4"/>
        <v>0</v>
      </c>
      <c r="AE33" s="107">
        <f t="shared" si="5"/>
        <v>0</v>
      </c>
      <c r="AF33" s="107">
        <f t="shared" si="32"/>
        <v>0</v>
      </c>
      <c r="AG33" s="368">
        <f>IF(AND($W33&gt;$O$83, SUM($AA$17:AA32)&gt;0,SUM($AG$17:AG32)&lt;$O$79),$O$82,0)</f>
        <v>64.125</v>
      </c>
      <c r="AH33" s="107">
        <f>IF(SUM($AA$18:$AA32)&gt;0,($O$79-SUM($AG$18:$AG32))*$F$83,0)</f>
        <v>13.7548125</v>
      </c>
      <c r="AI33" s="108">
        <f t="shared" si="33"/>
        <v>77.8798125</v>
      </c>
      <c r="AJ33" s="113">
        <f t="shared" si="6"/>
        <v>-77.8798125</v>
      </c>
      <c r="AK33" s="115">
        <f t="shared" si="34"/>
        <v>0</v>
      </c>
      <c r="AL33" s="277"/>
      <c r="AM33" s="264">
        <f t="shared" si="7"/>
        <v>-44.0206982298307</v>
      </c>
      <c r="AN33" s="278"/>
      <c r="AO33" s="266">
        <f t="shared" si="8"/>
        <v>0</v>
      </c>
      <c r="AP33" s="263">
        <f t="shared" si="9"/>
        <v>0</v>
      </c>
      <c r="AQ33" s="263">
        <f t="shared" si="10"/>
        <v>0</v>
      </c>
      <c r="AR33" s="260">
        <f t="shared" si="11"/>
        <v>0</v>
      </c>
      <c r="AS33" s="261">
        <f t="shared" si="35"/>
        <v>0</v>
      </c>
      <c r="AT33" s="260">
        <f t="shared" si="12"/>
        <v>0</v>
      </c>
      <c r="AU33" s="260">
        <f t="shared" si="13"/>
        <v>0</v>
      </c>
      <c r="AV33" s="260">
        <f t="shared" si="14"/>
        <v>0</v>
      </c>
      <c r="AW33" s="260">
        <f t="shared" si="15"/>
        <v>0</v>
      </c>
      <c r="AX33" s="368">
        <f t="shared" si="36"/>
        <v>0</v>
      </c>
      <c r="AY33" s="260">
        <f t="shared" si="16"/>
        <v>0</v>
      </c>
      <c r="AZ33" s="368">
        <f>IF(AND($W33&gt;$P$83, SUM($AQ$17:AQ32)&gt;0,SUM($AZ$17:AZ32)&lt;$P$79),$P$82,0)</f>
        <v>64.125</v>
      </c>
      <c r="BA33" s="107">
        <f>IF(SUM($AQ$18:$AQ32)&gt;0,($P$79-SUM($AZ$18:$AZ32))*$F$83,0)</f>
        <v>13.7548125</v>
      </c>
      <c r="BB33" s="261">
        <f t="shared" si="37"/>
        <v>77.8798125</v>
      </c>
      <c r="BC33" s="263">
        <f t="shared" si="38"/>
        <v>-77.8798125</v>
      </c>
      <c r="BD33" s="264">
        <f t="shared" si="17"/>
        <v>-44.0206982298307</v>
      </c>
      <c r="BE33" s="279"/>
      <c r="BF33" s="180">
        <f t="shared" si="39"/>
        <v>0.56523888305240466</v>
      </c>
      <c r="BH33" s="266">
        <f t="shared" si="40"/>
        <v>0</v>
      </c>
      <c r="BI33" s="266">
        <f t="shared" si="40"/>
        <v>0</v>
      </c>
      <c r="BJ33" s="263">
        <f t="shared" si="40"/>
        <v>0</v>
      </c>
      <c r="BK33" s="263">
        <f t="shared" si="40"/>
        <v>0</v>
      </c>
      <c r="BL33" s="263">
        <f t="shared" si="41"/>
        <v>0</v>
      </c>
      <c r="BM33" s="260">
        <f t="shared" si="18"/>
        <v>0</v>
      </c>
      <c r="BN33" s="264">
        <f t="shared" si="19"/>
        <v>0</v>
      </c>
      <c r="BO33" s="263">
        <f t="shared" si="20"/>
        <v>0</v>
      </c>
      <c r="BP33" s="263">
        <f t="shared" si="21"/>
        <v>0</v>
      </c>
      <c r="BQ33" s="263">
        <f t="shared" si="22"/>
        <v>0</v>
      </c>
      <c r="BR33" s="263">
        <f t="shared" si="23"/>
        <v>0</v>
      </c>
      <c r="BS33" s="263">
        <f t="shared" si="24"/>
        <v>0</v>
      </c>
      <c r="BT33" s="107">
        <f t="shared" si="42"/>
        <v>0</v>
      </c>
      <c r="BU33" s="264">
        <f t="shared" si="43"/>
        <v>0</v>
      </c>
      <c r="BV33" s="264">
        <f t="shared" si="25"/>
        <v>0</v>
      </c>
      <c r="BW33" s="265"/>
      <c r="BX33" s="361">
        <f t="shared" si="26"/>
        <v>0</v>
      </c>
      <c r="BY33" s="499">
        <f t="shared" si="27"/>
        <v>0</v>
      </c>
    </row>
    <row r="34" spans="2:77" ht="15.75" customHeight="1" x14ac:dyDescent="0.3">
      <c r="E34" s="22"/>
      <c r="F34" s="22"/>
      <c r="K34" s="119" t="s">
        <v>158</v>
      </c>
      <c r="M34" s="119"/>
      <c r="N34" s="191" t="s">
        <v>21</v>
      </c>
      <c r="O34" s="436">
        <f>O33*E36</f>
        <v>0</v>
      </c>
      <c r="P34" s="147">
        <f>$P$32*F36</f>
        <v>0</v>
      </c>
      <c r="V34" s="294">
        <f t="shared" si="28"/>
        <v>52321</v>
      </c>
      <c r="W34" s="366">
        <f t="shared" si="29"/>
        <v>17</v>
      </c>
      <c r="X34" s="366" t="str">
        <f t="shared" si="30"/>
        <v>-</v>
      </c>
      <c r="Y34" s="106">
        <f t="shared" si="0"/>
        <v>0</v>
      </c>
      <c r="Z34" s="107">
        <f t="shared" si="1"/>
        <v>0</v>
      </c>
      <c r="AA34" s="107">
        <f t="shared" si="2"/>
        <v>0</v>
      </c>
      <c r="AB34" s="107">
        <f t="shared" si="3"/>
        <v>0</v>
      </c>
      <c r="AC34" s="108">
        <f t="shared" si="31"/>
        <v>0</v>
      </c>
      <c r="AD34" s="106">
        <f t="shared" si="4"/>
        <v>0</v>
      </c>
      <c r="AE34" s="107">
        <f t="shared" si="5"/>
        <v>0</v>
      </c>
      <c r="AF34" s="107">
        <f t="shared" si="32"/>
        <v>0</v>
      </c>
      <c r="AG34" s="368">
        <f>IF(AND($W34&gt;$O$83, SUM($AA$17:AA33)&gt;0,SUM($AG$17:AG33)&lt;$O$79),$O$82,0)</f>
        <v>64.125</v>
      </c>
      <c r="AH34" s="107">
        <f>IF(SUM($AA$18:$AA33)&gt;0,($O$79-SUM($AG$18:$AG33))*$F$83,0)</f>
        <v>12.504375</v>
      </c>
      <c r="AI34" s="108">
        <f t="shared" si="33"/>
        <v>76.629374999999996</v>
      </c>
      <c r="AJ34" s="113">
        <f t="shared" si="6"/>
        <v>-76.629374999999996</v>
      </c>
      <c r="AK34" s="115">
        <f t="shared" si="34"/>
        <v>0</v>
      </c>
      <c r="AL34" s="277"/>
      <c r="AM34" s="264">
        <f t="shared" si="7"/>
        <v>-41.796682750172593</v>
      </c>
      <c r="AN34" s="278"/>
      <c r="AO34" s="266">
        <f t="shared" si="8"/>
        <v>0</v>
      </c>
      <c r="AP34" s="263">
        <f t="shared" si="9"/>
        <v>0</v>
      </c>
      <c r="AQ34" s="263">
        <f t="shared" si="10"/>
        <v>0</v>
      </c>
      <c r="AR34" s="260">
        <f t="shared" si="11"/>
        <v>0</v>
      </c>
      <c r="AS34" s="261">
        <f t="shared" si="35"/>
        <v>0</v>
      </c>
      <c r="AT34" s="260">
        <f t="shared" si="12"/>
        <v>0</v>
      </c>
      <c r="AU34" s="260">
        <f t="shared" si="13"/>
        <v>0</v>
      </c>
      <c r="AV34" s="260">
        <f t="shared" si="14"/>
        <v>0</v>
      </c>
      <c r="AW34" s="260">
        <f t="shared" si="15"/>
        <v>0</v>
      </c>
      <c r="AX34" s="368">
        <f t="shared" si="36"/>
        <v>0</v>
      </c>
      <c r="AY34" s="260">
        <f t="shared" si="16"/>
        <v>0</v>
      </c>
      <c r="AZ34" s="368">
        <f>IF(AND($W34&gt;$P$83, SUM($AQ$17:AQ33)&gt;0,SUM($AZ$17:AZ33)&lt;$P$79),$P$82,0)</f>
        <v>64.125</v>
      </c>
      <c r="BA34" s="107">
        <f>IF(SUM($AQ$18:$AQ33)&gt;0,($P$79-SUM($AZ$18:$AZ33))*$F$83,0)</f>
        <v>12.504375</v>
      </c>
      <c r="BB34" s="261">
        <f t="shared" si="37"/>
        <v>76.629374999999996</v>
      </c>
      <c r="BC34" s="263">
        <f t="shared" si="38"/>
        <v>-76.629374999999996</v>
      </c>
      <c r="BD34" s="264">
        <f t="shared" si="17"/>
        <v>-41.796682750172593</v>
      </c>
      <c r="BE34" s="279"/>
      <c r="BF34" s="180">
        <f t="shared" si="39"/>
        <v>0.54543943168233588</v>
      </c>
      <c r="BH34" s="266">
        <f t="shared" si="40"/>
        <v>0</v>
      </c>
      <c r="BI34" s="266">
        <f t="shared" si="40"/>
        <v>0</v>
      </c>
      <c r="BJ34" s="263">
        <f t="shared" si="40"/>
        <v>0</v>
      </c>
      <c r="BK34" s="263">
        <f t="shared" si="40"/>
        <v>0</v>
      </c>
      <c r="BL34" s="263">
        <f t="shared" si="41"/>
        <v>0</v>
      </c>
      <c r="BM34" s="260">
        <f t="shared" si="18"/>
        <v>0</v>
      </c>
      <c r="BN34" s="264">
        <f t="shared" si="19"/>
        <v>0</v>
      </c>
      <c r="BO34" s="263">
        <f t="shared" si="20"/>
        <v>0</v>
      </c>
      <c r="BP34" s="263">
        <f t="shared" si="21"/>
        <v>0</v>
      </c>
      <c r="BQ34" s="263">
        <f t="shared" si="22"/>
        <v>0</v>
      </c>
      <c r="BR34" s="263">
        <f t="shared" si="23"/>
        <v>0</v>
      </c>
      <c r="BS34" s="263">
        <f t="shared" si="24"/>
        <v>0</v>
      </c>
      <c r="BT34" s="107">
        <f t="shared" si="42"/>
        <v>0</v>
      </c>
      <c r="BU34" s="264">
        <f t="shared" si="43"/>
        <v>0</v>
      </c>
      <c r="BV34" s="264">
        <f t="shared" si="25"/>
        <v>0</v>
      </c>
      <c r="BW34" s="265"/>
      <c r="BX34" s="361">
        <f t="shared" si="26"/>
        <v>0</v>
      </c>
      <c r="BY34" s="499">
        <f t="shared" si="27"/>
        <v>0</v>
      </c>
    </row>
    <row r="35" spans="2:77" ht="15.75" customHeight="1" x14ac:dyDescent="0.45">
      <c r="C35" s="21" t="s">
        <v>159</v>
      </c>
      <c r="D35" s="191" t="s">
        <v>25</v>
      </c>
      <c r="E35" s="315">
        <v>1</v>
      </c>
      <c r="F35" s="315">
        <v>1</v>
      </c>
      <c r="H35" s="120" t="s">
        <v>160</v>
      </c>
      <c r="K35" s="275" t="s">
        <v>161</v>
      </c>
      <c r="L35" s="241"/>
      <c r="M35" s="275"/>
      <c r="N35" s="242" t="s">
        <v>21</v>
      </c>
      <c r="O35" s="437">
        <f>SUM(O33:O34)</f>
        <v>2850</v>
      </c>
      <c r="P35" s="437">
        <f>SUM(P33:P34)</f>
        <v>2850</v>
      </c>
      <c r="V35" s="294">
        <f t="shared" si="28"/>
        <v>52687</v>
      </c>
      <c r="W35" s="366">
        <f t="shared" si="29"/>
        <v>18</v>
      </c>
      <c r="X35" s="366" t="str">
        <f t="shared" si="30"/>
        <v>-</v>
      </c>
      <c r="Y35" s="106">
        <f t="shared" si="0"/>
        <v>0</v>
      </c>
      <c r="Z35" s="107">
        <f t="shared" si="1"/>
        <v>0</v>
      </c>
      <c r="AA35" s="107">
        <f t="shared" si="2"/>
        <v>0</v>
      </c>
      <c r="AB35" s="107">
        <f t="shared" si="3"/>
        <v>0</v>
      </c>
      <c r="AC35" s="108">
        <f t="shared" si="31"/>
        <v>0</v>
      </c>
      <c r="AD35" s="106">
        <f t="shared" si="4"/>
        <v>0</v>
      </c>
      <c r="AE35" s="107">
        <f t="shared" si="5"/>
        <v>0</v>
      </c>
      <c r="AF35" s="107">
        <f t="shared" si="32"/>
        <v>0</v>
      </c>
      <c r="AG35" s="368">
        <f>IF(AND($W35&gt;$O$83, SUM($AA$17:AA34)&gt;0,SUM($AG$17:AG34)&lt;$O$79),$O$82,0)</f>
        <v>64.125</v>
      </c>
      <c r="AH35" s="107">
        <f>IF(SUM($AA$18:$AA34)&gt;0,($O$79-SUM($AG$18:$AG34))*$F$83,0)</f>
        <v>11.253937499999999</v>
      </c>
      <c r="AI35" s="108">
        <f t="shared" si="33"/>
        <v>75.378937500000006</v>
      </c>
      <c r="AJ35" s="113">
        <f t="shared" si="6"/>
        <v>-75.378937500000006</v>
      </c>
      <c r="AK35" s="115">
        <f t="shared" si="34"/>
        <v>0</v>
      </c>
      <c r="AL35" s="277"/>
      <c r="AM35" s="264">
        <f t="shared" si="7"/>
        <v>-39.674461865114658</v>
      </c>
      <c r="AN35" s="278"/>
      <c r="AO35" s="266">
        <f t="shared" si="8"/>
        <v>0</v>
      </c>
      <c r="AP35" s="263">
        <f t="shared" si="9"/>
        <v>0</v>
      </c>
      <c r="AQ35" s="263">
        <f t="shared" si="10"/>
        <v>0</v>
      </c>
      <c r="AR35" s="260">
        <f t="shared" si="11"/>
        <v>0</v>
      </c>
      <c r="AS35" s="261">
        <f t="shared" si="35"/>
        <v>0</v>
      </c>
      <c r="AT35" s="260">
        <f t="shared" si="12"/>
        <v>0</v>
      </c>
      <c r="AU35" s="260">
        <f t="shared" si="13"/>
        <v>0</v>
      </c>
      <c r="AV35" s="260">
        <f t="shared" si="14"/>
        <v>0</v>
      </c>
      <c r="AW35" s="260">
        <f t="shared" si="15"/>
        <v>0</v>
      </c>
      <c r="AX35" s="368">
        <f t="shared" si="36"/>
        <v>0</v>
      </c>
      <c r="AY35" s="260">
        <f t="shared" si="16"/>
        <v>0</v>
      </c>
      <c r="AZ35" s="368">
        <f>IF(AND($W35&gt;$P$83, SUM($AQ$17:AQ34)&gt;0,SUM($AZ$17:AZ34)&lt;$P$79),$P$82,0)</f>
        <v>64.125</v>
      </c>
      <c r="BA35" s="107">
        <f>IF(SUM($AQ$18:$AQ34)&gt;0,($P$79-SUM($AZ$18:$AZ34))*$F$83,0)</f>
        <v>11.253937499999999</v>
      </c>
      <c r="BB35" s="261">
        <f t="shared" si="37"/>
        <v>75.378937500000006</v>
      </c>
      <c r="BC35" s="263">
        <f t="shared" si="38"/>
        <v>-75.378937500000006</v>
      </c>
      <c r="BD35" s="264">
        <f t="shared" si="17"/>
        <v>-39.674461865114658</v>
      </c>
      <c r="BE35" s="279"/>
      <c r="BF35" s="180">
        <f t="shared" si="39"/>
        <v>0.52633352473447448</v>
      </c>
      <c r="BH35" s="266">
        <f t="shared" ref="BH35:BK36" si="44">AT35</f>
        <v>0</v>
      </c>
      <c r="BI35" s="266">
        <f t="shared" si="44"/>
        <v>0</v>
      </c>
      <c r="BJ35" s="263">
        <f t="shared" si="44"/>
        <v>0</v>
      </c>
      <c r="BK35" s="263">
        <f t="shared" si="44"/>
        <v>0</v>
      </c>
      <c r="BL35" s="263">
        <f t="shared" si="41"/>
        <v>0</v>
      </c>
      <c r="BM35" s="260">
        <f t="shared" si="18"/>
        <v>0</v>
      </c>
      <c r="BN35" s="264">
        <f t="shared" si="19"/>
        <v>0</v>
      </c>
      <c r="BO35" s="263">
        <f t="shared" si="20"/>
        <v>0</v>
      </c>
      <c r="BP35" s="263">
        <f t="shared" si="21"/>
        <v>0</v>
      </c>
      <c r="BQ35" s="263">
        <f t="shared" si="22"/>
        <v>0</v>
      </c>
      <c r="BR35" s="263">
        <f t="shared" si="23"/>
        <v>0</v>
      </c>
      <c r="BS35" s="263">
        <f t="shared" si="24"/>
        <v>0</v>
      </c>
      <c r="BT35" s="107">
        <f t="shared" si="42"/>
        <v>0</v>
      </c>
      <c r="BU35" s="264">
        <f t="shared" si="43"/>
        <v>0</v>
      </c>
      <c r="BV35" s="264">
        <f t="shared" si="25"/>
        <v>0</v>
      </c>
      <c r="BW35" s="265"/>
      <c r="BX35" s="361">
        <f t="shared" si="26"/>
        <v>0</v>
      </c>
      <c r="BY35" s="499">
        <f t="shared" si="27"/>
        <v>0</v>
      </c>
    </row>
    <row r="36" spans="2:77" ht="15.75" customHeight="1" x14ac:dyDescent="0.45">
      <c r="C36" s="21" t="s">
        <v>162</v>
      </c>
      <c r="D36" s="191" t="s">
        <v>25</v>
      </c>
      <c r="E36" s="418"/>
      <c r="F36" s="418"/>
      <c r="V36" s="294">
        <f t="shared" si="28"/>
        <v>53052</v>
      </c>
      <c r="W36" s="366">
        <f t="shared" si="29"/>
        <v>19</v>
      </c>
      <c r="X36" s="366" t="str">
        <f t="shared" si="30"/>
        <v>-</v>
      </c>
      <c r="Y36" s="106">
        <f t="shared" si="0"/>
        <v>0</v>
      </c>
      <c r="Z36" s="107">
        <f t="shared" si="1"/>
        <v>0</v>
      </c>
      <c r="AA36" s="107">
        <f t="shared" si="2"/>
        <v>0</v>
      </c>
      <c r="AB36" s="107">
        <f t="shared" si="3"/>
        <v>0</v>
      </c>
      <c r="AC36" s="108">
        <f t="shared" si="31"/>
        <v>0</v>
      </c>
      <c r="AD36" s="106">
        <f t="shared" si="4"/>
        <v>0</v>
      </c>
      <c r="AE36" s="107">
        <f t="shared" si="5"/>
        <v>0</v>
      </c>
      <c r="AF36" s="107">
        <f t="shared" si="32"/>
        <v>0</v>
      </c>
      <c r="AG36" s="368">
        <f>IF(AND($W36&gt;$O$83, SUM($AA$17:AA35)&gt;0,SUM($AG$17:AG35)&lt;$O$79),$O$82,0)</f>
        <v>64.125</v>
      </c>
      <c r="AH36" s="107">
        <f>IF(SUM($AA$18:$AA35)&gt;0,($O$79-SUM($AG$18:$AG35))*$F$83,0)</f>
        <v>10.003500000000001</v>
      </c>
      <c r="AI36" s="108">
        <f t="shared" si="33"/>
        <v>74.128500000000003</v>
      </c>
      <c r="AJ36" s="113">
        <f t="shared" si="6"/>
        <v>-74.128500000000003</v>
      </c>
      <c r="AK36" s="115">
        <f t="shared" si="34"/>
        <v>0</v>
      </c>
      <c r="AL36" s="277"/>
      <c r="AM36" s="264">
        <f t="shared" si="7"/>
        <v>-37.649633010015918</v>
      </c>
      <c r="AN36" s="278"/>
      <c r="AO36" s="266">
        <f t="shared" si="8"/>
        <v>0</v>
      </c>
      <c r="AP36" s="263">
        <f t="shared" si="9"/>
        <v>0</v>
      </c>
      <c r="AQ36" s="263">
        <f t="shared" si="10"/>
        <v>0</v>
      </c>
      <c r="AR36" s="260">
        <f t="shared" si="11"/>
        <v>0</v>
      </c>
      <c r="AS36" s="261">
        <f t="shared" si="35"/>
        <v>0</v>
      </c>
      <c r="AT36" s="260">
        <f t="shared" si="12"/>
        <v>0</v>
      </c>
      <c r="AU36" s="260">
        <f t="shared" si="13"/>
        <v>0</v>
      </c>
      <c r="AV36" s="260">
        <f t="shared" si="14"/>
        <v>0</v>
      </c>
      <c r="AW36" s="260">
        <f t="shared" si="15"/>
        <v>0</v>
      </c>
      <c r="AX36" s="368">
        <f t="shared" si="36"/>
        <v>0</v>
      </c>
      <c r="AY36" s="260">
        <f t="shared" si="16"/>
        <v>0</v>
      </c>
      <c r="AZ36" s="368">
        <f>IF(AND($W36&gt;$P$83, SUM($AQ$17:AQ35)&gt;0,SUM($AZ$17:AZ35)&lt;$P$79),$P$82,0)</f>
        <v>64.125</v>
      </c>
      <c r="BA36" s="107">
        <f>IF(SUM($AQ$18:$AQ35)&gt;0,($P$79-SUM($AZ$18:$AZ35))*$F$83,0)</f>
        <v>10.003500000000001</v>
      </c>
      <c r="BB36" s="261">
        <f t="shared" si="37"/>
        <v>74.128500000000003</v>
      </c>
      <c r="BC36" s="263">
        <f t="shared" si="38"/>
        <v>-74.128500000000003</v>
      </c>
      <c r="BD36" s="264">
        <f t="shared" si="17"/>
        <v>-37.649633010015918</v>
      </c>
      <c r="BE36" s="279"/>
      <c r="BF36" s="180">
        <f t="shared" si="39"/>
        <v>0.50789686841114978</v>
      </c>
      <c r="BH36" s="266">
        <f t="shared" si="44"/>
        <v>0</v>
      </c>
      <c r="BI36" s="266">
        <f t="shared" si="44"/>
        <v>0</v>
      </c>
      <c r="BJ36" s="263">
        <f t="shared" si="44"/>
        <v>0</v>
      </c>
      <c r="BK36" s="263">
        <f t="shared" si="44"/>
        <v>0</v>
      </c>
      <c r="BL36" s="263">
        <f t="shared" si="41"/>
        <v>0</v>
      </c>
      <c r="BM36" s="260">
        <f t="shared" si="18"/>
        <v>0</v>
      </c>
      <c r="BN36" s="264">
        <f t="shared" si="19"/>
        <v>0</v>
      </c>
      <c r="BO36" s="263">
        <f t="shared" si="20"/>
        <v>0</v>
      </c>
      <c r="BP36" s="263">
        <f t="shared" si="21"/>
        <v>0</v>
      </c>
      <c r="BQ36" s="263">
        <f t="shared" si="22"/>
        <v>0</v>
      </c>
      <c r="BR36" s="263">
        <f t="shared" si="23"/>
        <v>0</v>
      </c>
      <c r="BS36" s="263">
        <f t="shared" si="24"/>
        <v>0</v>
      </c>
      <c r="BT36" s="107">
        <f t="shared" si="42"/>
        <v>0</v>
      </c>
      <c r="BU36" s="264">
        <f t="shared" si="43"/>
        <v>0</v>
      </c>
      <c r="BV36" s="264">
        <f t="shared" si="25"/>
        <v>0</v>
      </c>
      <c r="BW36" s="265"/>
      <c r="BX36" s="361">
        <f t="shared" si="26"/>
        <v>0</v>
      </c>
      <c r="BY36" s="499">
        <f t="shared" si="27"/>
        <v>0</v>
      </c>
    </row>
    <row r="37" spans="2:77" ht="15.75" customHeight="1" x14ac:dyDescent="0.3">
      <c r="V37" s="294">
        <f t="shared" ref="V37:V47" si="45">IF(W37=1,DATE(YEAR($F$20)+(MONTH($F$20)&gt;=4),4,0),EOMONTH(V36,12))</f>
        <v>53417</v>
      </c>
      <c r="W37" s="366">
        <f t="shared" si="29"/>
        <v>20</v>
      </c>
      <c r="X37" s="366" t="str">
        <f t="shared" si="30"/>
        <v>-</v>
      </c>
      <c r="Y37" s="106">
        <f t="shared" si="0"/>
        <v>0</v>
      </c>
      <c r="Z37" s="107">
        <f t="shared" si="1"/>
        <v>0</v>
      </c>
      <c r="AA37" s="107">
        <f t="shared" si="2"/>
        <v>0</v>
      </c>
      <c r="AB37" s="107">
        <f t="shared" si="3"/>
        <v>0</v>
      </c>
      <c r="AC37" s="108">
        <f t="shared" ref="AC37:AC47" si="46">SUM(Y37:AB37)</f>
        <v>0</v>
      </c>
      <c r="AD37" s="106">
        <f t="shared" ref="AD37:AD47" si="47">IF($W37=$F$18,$O$33,0)</f>
        <v>0</v>
      </c>
      <c r="AE37" s="107">
        <f t="shared" si="5"/>
        <v>0</v>
      </c>
      <c r="AF37" s="107">
        <f t="shared" si="32"/>
        <v>0</v>
      </c>
      <c r="AG37" s="368">
        <f>IF(AND($W37&gt;$O$83, SUM($AA$17:AA36)&gt;0,SUM($AG$17:AG36)&lt;$O$79),$O$82,0)</f>
        <v>64.125</v>
      </c>
      <c r="AH37" s="107">
        <f>IF(SUM($AA$18:$AA36)&gt;0,($O$79-SUM($AG$18:$AG36))*$F$83,0)</f>
        <v>8.7530625000000004</v>
      </c>
      <c r="AI37" s="108">
        <f t="shared" ref="AI37:AI47" si="48">SUM(AD37:AH37)</f>
        <v>72.878062499999999</v>
      </c>
      <c r="AJ37" s="113">
        <f t="shared" ref="AJ37:AJ47" si="49">AC37-AI37</f>
        <v>-72.878062499999999</v>
      </c>
      <c r="AK37" s="115">
        <f t="shared" si="34"/>
        <v>0</v>
      </c>
      <c r="AL37" s="277"/>
      <c r="AM37" s="264">
        <f t="shared" ref="AM37:AM47" si="50">AJ37*$BF37</f>
        <v>-35.71797714910938</v>
      </c>
      <c r="AN37" s="278"/>
      <c r="AO37" s="266">
        <f t="shared" si="8"/>
        <v>0</v>
      </c>
      <c r="AP37" s="263">
        <f t="shared" si="9"/>
        <v>0</v>
      </c>
      <c r="AQ37" s="263">
        <f t="shared" si="10"/>
        <v>0</v>
      </c>
      <c r="AR37" s="260">
        <f t="shared" si="11"/>
        <v>0</v>
      </c>
      <c r="AS37" s="261">
        <f t="shared" ref="AS37:AS47" si="51">SUM(AO37:AR37)</f>
        <v>0</v>
      </c>
      <c r="AT37" s="260">
        <f t="shared" ref="AT37:AT47" si="52">IF(W37=$F$18,$P$33,0)</f>
        <v>0</v>
      </c>
      <c r="AU37" s="260">
        <f t="shared" si="13"/>
        <v>0</v>
      </c>
      <c r="AV37" s="260">
        <f t="shared" si="14"/>
        <v>0</v>
      </c>
      <c r="AW37" s="260">
        <f t="shared" si="15"/>
        <v>0</v>
      </c>
      <c r="AX37" s="368">
        <f t="shared" si="36"/>
        <v>0</v>
      </c>
      <c r="AY37" s="260">
        <f t="shared" si="16"/>
        <v>0</v>
      </c>
      <c r="AZ37" s="368">
        <f>IF(AND($W37&gt;$P$83, SUM($AQ$17:AQ36)&gt;0,SUM($AZ$17:AZ36)&lt;$P$79),$P$82,0)</f>
        <v>64.125</v>
      </c>
      <c r="BA37" s="107">
        <f>IF(SUM($AQ$18:$AQ36)&gt;0,($P$79-SUM($AZ$18:$AZ36))*$F$83,0)</f>
        <v>8.7530625000000004</v>
      </c>
      <c r="BB37" s="261">
        <f t="shared" ref="BB37:BB47" si="53">SUM(AT37:BA37)</f>
        <v>72.878062499999999</v>
      </c>
      <c r="BC37" s="263">
        <f t="shared" ref="BC37:BC47" si="54">AS37-BB37</f>
        <v>-72.878062499999999</v>
      </c>
      <c r="BD37" s="264">
        <f t="shared" ref="BD37:BD47" si="55">BC37*$BF37</f>
        <v>-35.71797714910938</v>
      </c>
      <c r="BE37" s="279"/>
      <c r="BF37" s="180">
        <f t="shared" ref="BF37:BF47" si="56">BF36/(1+$O$25)</f>
        <v>0.49010601988917279</v>
      </c>
      <c r="BH37" s="266">
        <f t="shared" ref="BH37:BH47" si="57">AT37</f>
        <v>0</v>
      </c>
      <c r="BI37" s="266">
        <f t="shared" ref="BI37:BI47" si="58">AU37</f>
        <v>0</v>
      </c>
      <c r="BJ37" s="263">
        <f t="shared" ref="BJ37:BJ47" si="59">AV37</f>
        <v>0</v>
      </c>
      <c r="BK37" s="263">
        <f t="shared" ref="BK37:BK47" si="60">AW37</f>
        <v>0</v>
      </c>
      <c r="BL37" s="263">
        <f t="shared" ref="BL37:BL47" si="61">AY37</f>
        <v>0</v>
      </c>
      <c r="BM37" s="260">
        <f t="shared" si="18"/>
        <v>0</v>
      </c>
      <c r="BN37" s="264">
        <f t="shared" ref="BN37:BN47" si="62">SUM(BH37:BM37)</f>
        <v>0</v>
      </c>
      <c r="BO37" s="263">
        <f t="shared" ref="BO37:BO47" si="63">IF($W37=$F$18,$P$35,0)</f>
        <v>0</v>
      </c>
      <c r="BP37" s="263">
        <f t="shared" si="21"/>
        <v>0</v>
      </c>
      <c r="BQ37" s="263">
        <f t="shared" si="22"/>
        <v>0</v>
      </c>
      <c r="BR37" s="263">
        <f t="shared" si="23"/>
        <v>0</v>
      </c>
      <c r="BS37" s="263">
        <f t="shared" si="24"/>
        <v>0</v>
      </c>
      <c r="BT37" s="107">
        <f t="shared" si="42"/>
        <v>0</v>
      </c>
      <c r="BU37" s="264">
        <f t="shared" ref="BU37:BU47" si="64">SUM(BO37:BT37)</f>
        <v>0</v>
      </c>
      <c r="BV37" s="264">
        <f t="shared" ref="BV37:BV47" si="65">BN37-BU37</f>
        <v>0</v>
      </c>
      <c r="BW37" s="265"/>
      <c r="BX37" s="361">
        <f t="shared" si="26"/>
        <v>0</v>
      </c>
      <c r="BY37" s="499">
        <f t="shared" ref="BY37:BY47" si="66">IF(W37&lt;=$F$18,0,IF(BV37&gt;=BX37,0,1))</f>
        <v>0</v>
      </c>
    </row>
    <row r="38" spans="2:77" ht="15.75" customHeight="1" x14ac:dyDescent="0.3">
      <c r="V38" s="294">
        <f t="shared" si="45"/>
        <v>53782</v>
      </c>
      <c r="W38" s="366">
        <f t="shared" si="29"/>
        <v>21</v>
      </c>
      <c r="X38" s="366" t="str">
        <f t="shared" si="30"/>
        <v>-</v>
      </c>
      <c r="Y38" s="106">
        <f t="shared" si="0"/>
        <v>0</v>
      </c>
      <c r="Z38" s="107">
        <f t="shared" si="1"/>
        <v>0</v>
      </c>
      <c r="AA38" s="107">
        <f t="shared" si="2"/>
        <v>0</v>
      </c>
      <c r="AB38" s="107">
        <f t="shared" si="3"/>
        <v>0</v>
      </c>
      <c r="AC38" s="108">
        <f t="shared" si="46"/>
        <v>0</v>
      </c>
      <c r="AD38" s="106">
        <f t="shared" si="47"/>
        <v>0</v>
      </c>
      <c r="AE38" s="107">
        <f t="shared" si="5"/>
        <v>0</v>
      </c>
      <c r="AF38" s="107">
        <f t="shared" si="32"/>
        <v>0</v>
      </c>
      <c r="AG38" s="368">
        <f>IF(AND($W38&gt;$O$83, SUM($AA$17:AA37)&gt;0,SUM($AG$17:AG37)&lt;$O$79),$O$82,0)</f>
        <v>64.125</v>
      </c>
      <c r="AH38" s="107">
        <f>IF(SUM($AA$18:$AA37)&gt;0,($O$79-SUM($AG$18:$AG37))*$F$83,0)</f>
        <v>7.5026250000000001</v>
      </c>
      <c r="AI38" s="108">
        <f t="shared" si="48"/>
        <v>71.627624999999995</v>
      </c>
      <c r="AJ38" s="113">
        <f t="shared" si="49"/>
        <v>-71.627624999999995</v>
      </c>
      <c r="AK38" s="115">
        <f t="shared" si="34"/>
        <v>0</v>
      </c>
      <c r="AL38" s="277"/>
      <c r="AM38" s="264">
        <f t="shared" si="50"/>
        <v>-33.875451319950024</v>
      </c>
      <c r="AN38" s="278"/>
      <c r="AO38" s="266">
        <f t="shared" si="8"/>
        <v>0</v>
      </c>
      <c r="AP38" s="263">
        <f t="shared" si="9"/>
        <v>0</v>
      </c>
      <c r="AQ38" s="263">
        <f t="shared" si="10"/>
        <v>0</v>
      </c>
      <c r="AR38" s="260">
        <f t="shared" si="11"/>
        <v>0</v>
      </c>
      <c r="AS38" s="261">
        <f t="shared" si="51"/>
        <v>0</v>
      </c>
      <c r="AT38" s="260">
        <f t="shared" si="52"/>
        <v>0</v>
      </c>
      <c r="AU38" s="260">
        <f t="shared" si="13"/>
        <v>0</v>
      </c>
      <c r="AV38" s="260">
        <f t="shared" si="14"/>
        <v>0</v>
      </c>
      <c r="AW38" s="260">
        <f t="shared" si="15"/>
        <v>0</v>
      </c>
      <c r="AX38" s="368">
        <f t="shared" si="36"/>
        <v>0</v>
      </c>
      <c r="AY38" s="260">
        <f t="shared" si="16"/>
        <v>0</v>
      </c>
      <c r="AZ38" s="368">
        <f>IF(AND($W38&gt;$P$83, SUM($AQ$17:AQ37)&gt;0,SUM($AZ$17:AZ37)&lt;$P$79),$P$82,0)</f>
        <v>64.125</v>
      </c>
      <c r="BA38" s="107">
        <f>IF(SUM($AQ$18:$AQ37)&gt;0,($P$79-SUM($AZ$18:$AZ37))*$F$83,0)</f>
        <v>7.5026250000000001</v>
      </c>
      <c r="BB38" s="261">
        <f t="shared" si="53"/>
        <v>71.627624999999995</v>
      </c>
      <c r="BC38" s="263">
        <f t="shared" si="54"/>
        <v>-71.627624999999995</v>
      </c>
      <c r="BD38" s="264">
        <f t="shared" si="55"/>
        <v>-33.875451319950024</v>
      </c>
      <c r="BE38" s="279"/>
      <c r="BF38" s="180">
        <f t="shared" si="56"/>
        <v>0.47293835751150515</v>
      </c>
      <c r="BH38" s="266">
        <f t="shared" si="57"/>
        <v>0</v>
      </c>
      <c r="BI38" s="266">
        <f t="shared" si="58"/>
        <v>0</v>
      </c>
      <c r="BJ38" s="263">
        <f t="shared" si="59"/>
        <v>0</v>
      </c>
      <c r="BK38" s="263">
        <f t="shared" si="60"/>
        <v>0</v>
      </c>
      <c r="BL38" s="263">
        <f t="shared" si="61"/>
        <v>0</v>
      </c>
      <c r="BM38" s="260">
        <f t="shared" si="18"/>
        <v>0</v>
      </c>
      <c r="BN38" s="264">
        <f t="shared" si="62"/>
        <v>0</v>
      </c>
      <c r="BO38" s="263">
        <f t="shared" si="63"/>
        <v>0</v>
      </c>
      <c r="BP38" s="263">
        <f t="shared" si="21"/>
        <v>0</v>
      </c>
      <c r="BQ38" s="263">
        <f t="shared" si="22"/>
        <v>0</v>
      </c>
      <c r="BR38" s="263">
        <f t="shared" si="23"/>
        <v>0</v>
      </c>
      <c r="BS38" s="263">
        <f t="shared" si="24"/>
        <v>0</v>
      </c>
      <c r="BT38" s="107">
        <f t="shared" si="42"/>
        <v>0</v>
      </c>
      <c r="BU38" s="264">
        <f t="shared" si="64"/>
        <v>0</v>
      </c>
      <c r="BV38" s="264">
        <f t="shared" si="65"/>
        <v>0</v>
      </c>
      <c r="BW38" s="265"/>
      <c r="BX38" s="361">
        <f t="shared" si="26"/>
        <v>0</v>
      </c>
      <c r="BY38" s="499">
        <f t="shared" si="66"/>
        <v>0</v>
      </c>
    </row>
    <row r="39" spans="2:77" ht="15.75" customHeight="1" x14ac:dyDescent="0.3">
      <c r="B39" s="226" t="s">
        <v>163</v>
      </c>
      <c r="J39" s="226" t="s">
        <v>163</v>
      </c>
      <c r="P39" s="21" t="s">
        <v>98</v>
      </c>
      <c r="V39" s="294">
        <f t="shared" si="45"/>
        <v>54148</v>
      </c>
      <c r="W39" s="366">
        <f t="shared" si="29"/>
        <v>22</v>
      </c>
      <c r="X39" s="366" t="str">
        <f t="shared" si="30"/>
        <v>-</v>
      </c>
      <c r="Y39" s="106">
        <f t="shared" si="0"/>
        <v>0</v>
      </c>
      <c r="Z39" s="107">
        <f t="shared" si="1"/>
        <v>0</v>
      </c>
      <c r="AA39" s="107">
        <f t="shared" si="2"/>
        <v>0</v>
      </c>
      <c r="AB39" s="107">
        <f t="shared" si="3"/>
        <v>0</v>
      </c>
      <c r="AC39" s="108">
        <f t="shared" si="46"/>
        <v>0</v>
      </c>
      <c r="AD39" s="106">
        <f t="shared" si="47"/>
        <v>0</v>
      </c>
      <c r="AE39" s="107">
        <f t="shared" si="5"/>
        <v>0</v>
      </c>
      <c r="AF39" s="107">
        <f t="shared" si="32"/>
        <v>0</v>
      </c>
      <c r="AG39" s="368">
        <f>IF(AND($W39&gt;$O$83, SUM($AA$17:AA38)&gt;0,SUM($AG$17:AG38)&lt;$O$79),$O$82,0)</f>
        <v>64.125</v>
      </c>
      <c r="AH39" s="107">
        <f>IF(SUM($AA$18:$AA38)&gt;0,($O$79-SUM($AG$18:$AG38))*$F$83,0)</f>
        <v>6.2521874999999998</v>
      </c>
      <c r="AI39" s="108">
        <f t="shared" si="48"/>
        <v>70.377187500000005</v>
      </c>
      <c r="AJ39" s="113">
        <f t="shared" si="49"/>
        <v>-70.377187500000005</v>
      </c>
      <c r="AK39" s="115">
        <f t="shared" si="34"/>
        <v>0</v>
      </c>
      <c r="AL39" s="277"/>
      <c r="AM39" s="264">
        <f t="shared" si="50"/>
        <v>-32.118181474987196</v>
      </c>
      <c r="AN39" s="278"/>
      <c r="AO39" s="266">
        <f t="shared" si="8"/>
        <v>0</v>
      </c>
      <c r="AP39" s="263">
        <f t="shared" si="9"/>
        <v>0</v>
      </c>
      <c r="AQ39" s="263">
        <f t="shared" si="10"/>
        <v>0</v>
      </c>
      <c r="AR39" s="260">
        <f t="shared" si="11"/>
        <v>0</v>
      </c>
      <c r="AS39" s="261">
        <f t="shared" si="51"/>
        <v>0</v>
      </c>
      <c r="AT39" s="260">
        <f t="shared" si="52"/>
        <v>0</v>
      </c>
      <c r="AU39" s="260">
        <f t="shared" si="13"/>
        <v>0</v>
      </c>
      <c r="AV39" s="260">
        <f t="shared" si="14"/>
        <v>0</v>
      </c>
      <c r="AW39" s="260">
        <f t="shared" si="15"/>
        <v>0</v>
      </c>
      <c r="AX39" s="368">
        <f t="shared" si="36"/>
        <v>0</v>
      </c>
      <c r="AY39" s="260">
        <f t="shared" si="16"/>
        <v>0</v>
      </c>
      <c r="AZ39" s="368">
        <f>IF(AND($W39&gt;$P$83, SUM($AQ$17:AQ38)&gt;0,SUM($AZ$17:AZ38)&lt;$P$79),$P$82,0)</f>
        <v>64.125</v>
      </c>
      <c r="BA39" s="107">
        <f>IF(SUM($AQ$18:$AQ38)&gt;0,($P$79-SUM($AZ$18:$AZ38))*$F$83,0)</f>
        <v>6.2521874999999998</v>
      </c>
      <c r="BB39" s="261">
        <f t="shared" si="53"/>
        <v>70.377187500000005</v>
      </c>
      <c r="BC39" s="263">
        <f t="shared" si="54"/>
        <v>-70.377187500000005</v>
      </c>
      <c r="BD39" s="264">
        <f t="shared" si="55"/>
        <v>-32.118181474987196</v>
      </c>
      <c r="BE39" s="279"/>
      <c r="BF39" s="180">
        <f t="shared" si="56"/>
        <v>0.4563720520230678</v>
      </c>
      <c r="BH39" s="266">
        <f t="shared" si="57"/>
        <v>0</v>
      </c>
      <c r="BI39" s="266">
        <f t="shared" si="58"/>
        <v>0</v>
      </c>
      <c r="BJ39" s="263">
        <f t="shared" si="59"/>
        <v>0</v>
      </c>
      <c r="BK39" s="263">
        <f t="shared" si="60"/>
        <v>0</v>
      </c>
      <c r="BL39" s="263">
        <f t="shared" si="61"/>
        <v>0</v>
      </c>
      <c r="BM39" s="260">
        <f t="shared" si="18"/>
        <v>0</v>
      </c>
      <c r="BN39" s="264">
        <f t="shared" si="62"/>
        <v>0</v>
      </c>
      <c r="BO39" s="263">
        <f t="shared" si="63"/>
        <v>0</v>
      </c>
      <c r="BP39" s="263">
        <f t="shared" si="21"/>
        <v>0</v>
      </c>
      <c r="BQ39" s="263">
        <f t="shared" si="22"/>
        <v>0</v>
      </c>
      <c r="BR39" s="263">
        <f t="shared" si="23"/>
        <v>0</v>
      </c>
      <c r="BS39" s="263">
        <f t="shared" si="24"/>
        <v>0</v>
      </c>
      <c r="BT39" s="107">
        <f t="shared" si="42"/>
        <v>0</v>
      </c>
      <c r="BU39" s="264">
        <f t="shared" si="64"/>
        <v>0</v>
      </c>
      <c r="BV39" s="264">
        <f t="shared" si="65"/>
        <v>0</v>
      </c>
      <c r="BW39" s="265"/>
      <c r="BX39" s="361">
        <f t="shared" si="26"/>
        <v>0</v>
      </c>
      <c r="BY39" s="499">
        <f t="shared" si="66"/>
        <v>0</v>
      </c>
    </row>
    <row r="40" spans="2:77" ht="15.75" customHeight="1" x14ac:dyDescent="0.45">
      <c r="B40" s="119"/>
      <c r="C40" s="21" t="s">
        <v>164</v>
      </c>
      <c r="D40" s="191" t="s">
        <v>25</v>
      </c>
      <c r="F40" s="415"/>
      <c r="H40" s="120" t="s">
        <v>160</v>
      </c>
      <c r="J40" s="312"/>
      <c r="K40" s="119" t="s">
        <v>165</v>
      </c>
      <c r="N40" s="191" t="s">
        <v>25</v>
      </c>
      <c r="O40" s="433"/>
      <c r="P40" s="433"/>
      <c r="V40" s="294">
        <f t="shared" si="45"/>
        <v>54513</v>
      </c>
      <c r="W40" s="366">
        <f t="shared" si="29"/>
        <v>23</v>
      </c>
      <c r="X40" s="366" t="str">
        <f t="shared" si="30"/>
        <v>-</v>
      </c>
      <c r="Y40" s="106">
        <f t="shared" si="0"/>
        <v>0</v>
      </c>
      <c r="Z40" s="107">
        <f t="shared" si="1"/>
        <v>0</v>
      </c>
      <c r="AA40" s="107">
        <f t="shared" si="2"/>
        <v>0</v>
      </c>
      <c r="AB40" s="107">
        <f t="shared" si="3"/>
        <v>0</v>
      </c>
      <c r="AC40" s="108">
        <f t="shared" si="46"/>
        <v>0</v>
      </c>
      <c r="AD40" s="106">
        <f t="shared" si="47"/>
        <v>0</v>
      </c>
      <c r="AE40" s="107">
        <f t="shared" si="5"/>
        <v>0</v>
      </c>
      <c r="AF40" s="107">
        <f t="shared" si="32"/>
        <v>0</v>
      </c>
      <c r="AG40" s="368">
        <f>IF(AND($W40&gt;$O$83, SUM($AA$17:AA39)&gt;0,SUM($AG$17:AG39)&lt;$O$79),$O$82,0)</f>
        <v>64.125</v>
      </c>
      <c r="AH40" s="107">
        <f>IF(SUM($AA$18:$AA39)&gt;0,($O$79-SUM($AG$18:$AG39))*$F$83,0)</f>
        <v>5.0017500000000004</v>
      </c>
      <c r="AI40" s="108">
        <f t="shared" si="48"/>
        <v>69.126750000000001</v>
      </c>
      <c r="AJ40" s="113">
        <f t="shared" si="49"/>
        <v>-69.126750000000001</v>
      </c>
      <c r="AK40" s="115">
        <f t="shared" si="34"/>
        <v>0</v>
      </c>
      <c r="AL40" s="277"/>
      <c r="AM40" s="264">
        <f t="shared" si="50"/>
        <v>-30.442455608593654</v>
      </c>
      <c r="AN40" s="278"/>
      <c r="AO40" s="266">
        <f t="shared" si="8"/>
        <v>0</v>
      </c>
      <c r="AP40" s="263">
        <f t="shared" si="9"/>
        <v>0</v>
      </c>
      <c r="AQ40" s="263">
        <f t="shared" si="10"/>
        <v>0</v>
      </c>
      <c r="AR40" s="260">
        <f t="shared" si="11"/>
        <v>0</v>
      </c>
      <c r="AS40" s="261">
        <f t="shared" si="51"/>
        <v>0</v>
      </c>
      <c r="AT40" s="260">
        <f t="shared" si="52"/>
        <v>0</v>
      </c>
      <c r="AU40" s="260">
        <f t="shared" si="13"/>
        <v>0</v>
      </c>
      <c r="AV40" s="260">
        <f t="shared" si="14"/>
        <v>0</v>
      </c>
      <c r="AW40" s="260">
        <f t="shared" si="15"/>
        <v>0</v>
      </c>
      <c r="AX40" s="368">
        <f t="shared" si="36"/>
        <v>0</v>
      </c>
      <c r="AY40" s="260">
        <f t="shared" si="16"/>
        <v>0</v>
      </c>
      <c r="AZ40" s="368">
        <f>IF(AND($W40&gt;$P$83, SUM($AQ$17:AQ39)&gt;0,SUM($AZ$17:AZ39)&lt;$P$79),$P$82,0)</f>
        <v>64.125</v>
      </c>
      <c r="BA40" s="107">
        <f>IF(SUM($AQ$18:$AQ39)&gt;0,($P$79-SUM($AZ$18:$AZ39))*$F$83,0)</f>
        <v>5.0017500000000004</v>
      </c>
      <c r="BB40" s="261">
        <f t="shared" si="53"/>
        <v>69.126750000000001</v>
      </c>
      <c r="BC40" s="263">
        <f t="shared" si="54"/>
        <v>-69.126750000000001</v>
      </c>
      <c r="BD40" s="264">
        <f t="shared" si="55"/>
        <v>-30.442455608593654</v>
      </c>
      <c r="BE40" s="279"/>
      <c r="BF40" s="180">
        <f t="shared" si="56"/>
        <v>0.44038603881411542</v>
      </c>
      <c r="BH40" s="266">
        <f t="shared" si="57"/>
        <v>0</v>
      </c>
      <c r="BI40" s="266">
        <f t="shared" si="58"/>
        <v>0</v>
      </c>
      <c r="BJ40" s="263">
        <f t="shared" si="59"/>
        <v>0</v>
      </c>
      <c r="BK40" s="263">
        <f t="shared" si="60"/>
        <v>0</v>
      </c>
      <c r="BL40" s="263">
        <f t="shared" si="61"/>
        <v>0</v>
      </c>
      <c r="BM40" s="260">
        <f t="shared" si="18"/>
        <v>0</v>
      </c>
      <c r="BN40" s="264">
        <f t="shared" si="62"/>
        <v>0</v>
      </c>
      <c r="BO40" s="263">
        <f t="shared" si="63"/>
        <v>0</v>
      </c>
      <c r="BP40" s="263">
        <f t="shared" si="21"/>
        <v>0</v>
      </c>
      <c r="BQ40" s="263">
        <f t="shared" si="22"/>
        <v>0</v>
      </c>
      <c r="BR40" s="263">
        <f t="shared" si="23"/>
        <v>0</v>
      </c>
      <c r="BS40" s="263">
        <f t="shared" si="24"/>
        <v>0</v>
      </c>
      <c r="BT40" s="107">
        <f t="shared" si="42"/>
        <v>0</v>
      </c>
      <c r="BU40" s="264">
        <f t="shared" si="64"/>
        <v>0</v>
      </c>
      <c r="BV40" s="264">
        <f t="shared" si="65"/>
        <v>0</v>
      </c>
      <c r="BW40" s="265"/>
      <c r="BX40" s="361">
        <f t="shared" si="26"/>
        <v>0</v>
      </c>
      <c r="BY40" s="499">
        <f t="shared" si="66"/>
        <v>0</v>
      </c>
    </row>
    <row r="41" spans="2:77" ht="15.75" customHeight="1" x14ac:dyDescent="0.3">
      <c r="C41" s="21" t="s">
        <v>166</v>
      </c>
      <c r="D41" s="191" t="s">
        <v>25</v>
      </c>
      <c r="F41" s="431"/>
      <c r="H41" s="120" t="s">
        <v>160</v>
      </c>
      <c r="J41" s="35"/>
      <c r="V41" s="294">
        <f t="shared" si="45"/>
        <v>54878</v>
      </c>
      <c r="W41" s="366">
        <f t="shared" si="29"/>
        <v>24</v>
      </c>
      <c r="X41" s="366" t="str">
        <f t="shared" si="30"/>
        <v>-</v>
      </c>
      <c r="Y41" s="106">
        <f t="shared" si="0"/>
        <v>0</v>
      </c>
      <c r="Z41" s="107">
        <f t="shared" si="1"/>
        <v>0</v>
      </c>
      <c r="AA41" s="107">
        <f t="shared" si="2"/>
        <v>0</v>
      </c>
      <c r="AB41" s="107">
        <f t="shared" si="3"/>
        <v>0</v>
      </c>
      <c r="AC41" s="108">
        <f t="shared" si="46"/>
        <v>0</v>
      </c>
      <c r="AD41" s="106">
        <f t="shared" si="47"/>
        <v>0</v>
      </c>
      <c r="AE41" s="107">
        <f t="shared" si="5"/>
        <v>0</v>
      </c>
      <c r="AF41" s="107">
        <f t="shared" si="32"/>
        <v>0</v>
      </c>
      <c r="AG41" s="368">
        <f>IF(AND($W41&gt;$O$83, SUM($AA$17:AA40)&gt;0,SUM($AG$17:AG40)&lt;$O$79),$O$82,0)</f>
        <v>64.125</v>
      </c>
      <c r="AH41" s="107">
        <f>IF(SUM($AA$18:$AA40)&gt;0,($O$79-SUM($AG$18:$AG40))*$F$83,0)</f>
        <v>3.7513125</v>
      </c>
      <c r="AI41" s="108">
        <f t="shared" si="48"/>
        <v>67.876312499999997</v>
      </c>
      <c r="AJ41" s="113">
        <f t="shared" si="49"/>
        <v>-67.876312499999997</v>
      </c>
      <c r="AK41" s="115">
        <f t="shared" si="34"/>
        <v>0</v>
      </c>
      <c r="AL41" s="277"/>
      <c r="AM41" s="264">
        <f t="shared" si="50"/>
        <v>-28.844717158336415</v>
      </c>
      <c r="AN41" s="278"/>
      <c r="AO41" s="266">
        <f t="shared" si="8"/>
        <v>0</v>
      </c>
      <c r="AP41" s="263">
        <f t="shared" si="9"/>
        <v>0</v>
      </c>
      <c r="AQ41" s="263">
        <f t="shared" si="10"/>
        <v>0</v>
      </c>
      <c r="AR41" s="260">
        <f t="shared" si="11"/>
        <v>0</v>
      </c>
      <c r="AS41" s="261">
        <f t="shared" si="51"/>
        <v>0</v>
      </c>
      <c r="AT41" s="260">
        <f t="shared" si="52"/>
        <v>0</v>
      </c>
      <c r="AU41" s="260">
        <f t="shared" si="13"/>
        <v>0</v>
      </c>
      <c r="AV41" s="260">
        <f t="shared" si="14"/>
        <v>0</v>
      </c>
      <c r="AW41" s="260">
        <f t="shared" si="15"/>
        <v>0</v>
      </c>
      <c r="AX41" s="368">
        <f t="shared" si="36"/>
        <v>0</v>
      </c>
      <c r="AY41" s="260">
        <f t="shared" si="16"/>
        <v>0</v>
      </c>
      <c r="AZ41" s="368">
        <f>IF(AND($W41&gt;$P$83, SUM($AQ$17:AQ40)&gt;0,SUM($AZ$17:AZ40)&lt;$P$79),$P$82,0)</f>
        <v>64.125</v>
      </c>
      <c r="BA41" s="107">
        <f>IF(SUM($AQ$18:$AQ40)&gt;0,($P$79-SUM($AZ$18:$AZ40))*$F$83,0)</f>
        <v>3.7513125</v>
      </c>
      <c r="BB41" s="261">
        <f t="shared" si="53"/>
        <v>67.876312499999997</v>
      </c>
      <c r="BC41" s="263">
        <f t="shared" si="54"/>
        <v>-67.876312499999997</v>
      </c>
      <c r="BD41" s="264">
        <f t="shared" si="55"/>
        <v>-28.844717158336415</v>
      </c>
      <c r="BE41" s="279"/>
      <c r="BF41" s="180">
        <f t="shared" si="56"/>
        <v>0.4249599911358829</v>
      </c>
      <c r="BH41" s="266">
        <f t="shared" si="57"/>
        <v>0</v>
      </c>
      <c r="BI41" s="266">
        <f t="shared" si="58"/>
        <v>0</v>
      </c>
      <c r="BJ41" s="263">
        <f t="shared" si="59"/>
        <v>0</v>
      </c>
      <c r="BK41" s="263">
        <f t="shared" si="60"/>
        <v>0</v>
      </c>
      <c r="BL41" s="263">
        <f t="shared" si="61"/>
        <v>0</v>
      </c>
      <c r="BM41" s="260">
        <f t="shared" si="18"/>
        <v>0</v>
      </c>
      <c r="BN41" s="264">
        <f t="shared" si="62"/>
        <v>0</v>
      </c>
      <c r="BO41" s="263">
        <f t="shared" si="63"/>
        <v>0</v>
      </c>
      <c r="BP41" s="263">
        <f t="shared" si="21"/>
        <v>0</v>
      </c>
      <c r="BQ41" s="263">
        <f t="shared" si="22"/>
        <v>0</v>
      </c>
      <c r="BR41" s="263">
        <f t="shared" si="23"/>
        <v>0</v>
      </c>
      <c r="BS41" s="263">
        <f t="shared" si="24"/>
        <v>0</v>
      </c>
      <c r="BT41" s="107">
        <f t="shared" si="42"/>
        <v>0</v>
      </c>
      <c r="BU41" s="264">
        <f t="shared" si="64"/>
        <v>0</v>
      </c>
      <c r="BV41" s="264">
        <f t="shared" si="65"/>
        <v>0</v>
      </c>
      <c r="BW41" s="265"/>
      <c r="BX41" s="361">
        <f t="shared" si="26"/>
        <v>0</v>
      </c>
      <c r="BY41" s="499">
        <f t="shared" si="66"/>
        <v>0</v>
      </c>
    </row>
    <row r="42" spans="2:77" ht="15.75" customHeight="1" x14ac:dyDescent="0.45">
      <c r="C42" s="21" t="s">
        <v>167</v>
      </c>
      <c r="D42" s="191" t="s">
        <v>25</v>
      </c>
      <c r="F42" s="415"/>
      <c r="H42" s="120" t="s">
        <v>160</v>
      </c>
      <c r="V42" s="294">
        <f t="shared" si="45"/>
        <v>55243</v>
      </c>
      <c r="W42" s="366">
        <f t="shared" si="29"/>
        <v>25</v>
      </c>
      <c r="X42" s="366" t="str">
        <f t="shared" si="30"/>
        <v>-</v>
      </c>
      <c r="Y42" s="106">
        <f t="shared" si="0"/>
        <v>0</v>
      </c>
      <c r="Z42" s="107">
        <f t="shared" si="1"/>
        <v>0</v>
      </c>
      <c r="AA42" s="107">
        <f t="shared" si="2"/>
        <v>0</v>
      </c>
      <c r="AB42" s="107">
        <f t="shared" si="3"/>
        <v>0</v>
      </c>
      <c r="AC42" s="108">
        <f t="shared" si="46"/>
        <v>0</v>
      </c>
      <c r="AD42" s="106">
        <f t="shared" si="47"/>
        <v>0</v>
      </c>
      <c r="AE42" s="107">
        <f t="shared" si="5"/>
        <v>0</v>
      </c>
      <c r="AF42" s="107">
        <f t="shared" si="32"/>
        <v>0</v>
      </c>
      <c r="AG42" s="368">
        <f>IF(AND($W42&gt;$O$83, SUM($AA$17:AA41)&gt;0,SUM($AG$17:AG41)&lt;$O$79),$O$82,0)</f>
        <v>64.125</v>
      </c>
      <c r="AH42" s="107">
        <f>IF(SUM($AA$18:$AA41)&gt;0,($O$79-SUM($AG$18:$AG41))*$F$83,0)</f>
        <v>2.5008750000000002</v>
      </c>
      <c r="AI42" s="108">
        <f t="shared" si="48"/>
        <v>66.625874999999994</v>
      </c>
      <c r="AJ42" s="113">
        <f t="shared" si="49"/>
        <v>-66.625874999999994</v>
      </c>
      <c r="AK42" s="115">
        <f t="shared" si="34"/>
        <v>0</v>
      </c>
      <c r="AL42" s="277"/>
      <c r="AM42" s="264">
        <f t="shared" si="50"/>
        <v>-27.321558669709965</v>
      </c>
      <c r="AN42" s="278"/>
      <c r="AO42" s="266">
        <f t="shared" si="8"/>
        <v>0</v>
      </c>
      <c r="AP42" s="263">
        <f t="shared" si="9"/>
        <v>0</v>
      </c>
      <c r="AQ42" s="263">
        <f t="shared" si="10"/>
        <v>0</v>
      </c>
      <c r="AR42" s="260">
        <f t="shared" si="11"/>
        <v>0</v>
      </c>
      <c r="AS42" s="261">
        <f t="shared" si="51"/>
        <v>0</v>
      </c>
      <c r="AT42" s="260">
        <f t="shared" si="52"/>
        <v>0</v>
      </c>
      <c r="AU42" s="260">
        <f t="shared" si="13"/>
        <v>0</v>
      </c>
      <c r="AV42" s="260">
        <f t="shared" si="14"/>
        <v>0</v>
      </c>
      <c r="AW42" s="260">
        <f t="shared" si="15"/>
        <v>0</v>
      </c>
      <c r="AX42" s="368">
        <f t="shared" si="36"/>
        <v>0</v>
      </c>
      <c r="AY42" s="260">
        <f t="shared" si="16"/>
        <v>0</v>
      </c>
      <c r="AZ42" s="368">
        <f>IF(AND($W42&gt;$P$83, SUM($AQ$17:AQ41)&gt;0,SUM($AZ$17:AZ41)&lt;$P$79),$P$82,0)</f>
        <v>64.125</v>
      </c>
      <c r="BA42" s="107">
        <f>IF(SUM($AQ$18:$AQ41)&gt;0,($P$79-SUM($AZ$18:$AZ41))*$F$83,0)</f>
        <v>2.5008750000000002</v>
      </c>
      <c r="BB42" s="261">
        <f t="shared" si="53"/>
        <v>66.625874999999994</v>
      </c>
      <c r="BC42" s="263">
        <f t="shared" si="54"/>
        <v>-66.625874999999994</v>
      </c>
      <c r="BD42" s="264">
        <f t="shared" si="55"/>
        <v>-27.321558669709965</v>
      </c>
      <c r="BE42" s="280"/>
      <c r="BF42" s="180">
        <f t="shared" si="56"/>
        <v>0.41007429425444647</v>
      </c>
      <c r="BH42" s="266">
        <f t="shared" si="57"/>
        <v>0</v>
      </c>
      <c r="BI42" s="266">
        <f t="shared" si="58"/>
        <v>0</v>
      </c>
      <c r="BJ42" s="263">
        <f t="shared" si="59"/>
        <v>0</v>
      </c>
      <c r="BK42" s="263">
        <f t="shared" si="60"/>
        <v>0</v>
      </c>
      <c r="BL42" s="263">
        <f t="shared" si="61"/>
        <v>0</v>
      </c>
      <c r="BM42" s="260">
        <f t="shared" si="18"/>
        <v>0</v>
      </c>
      <c r="BN42" s="264">
        <f t="shared" si="62"/>
        <v>0</v>
      </c>
      <c r="BO42" s="263">
        <f t="shared" si="63"/>
        <v>0</v>
      </c>
      <c r="BP42" s="263">
        <f t="shared" si="21"/>
        <v>0</v>
      </c>
      <c r="BQ42" s="263">
        <f t="shared" si="22"/>
        <v>0</v>
      </c>
      <c r="BR42" s="263">
        <f t="shared" si="23"/>
        <v>0</v>
      </c>
      <c r="BS42" s="263">
        <f t="shared" si="24"/>
        <v>0</v>
      </c>
      <c r="BT42" s="107">
        <f t="shared" si="42"/>
        <v>0</v>
      </c>
      <c r="BU42" s="264">
        <f t="shared" si="64"/>
        <v>0</v>
      </c>
      <c r="BV42" s="264">
        <f t="shared" si="65"/>
        <v>0</v>
      </c>
      <c r="BW42" s="265"/>
      <c r="BX42" s="361">
        <f t="shared" si="26"/>
        <v>0</v>
      </c>
      <c r="BY42" s="499">
        <f t="shared" si="66"/>
        <v>0</v>
      </c>
    </row>
    <row r="43" spans="2:77" ht="15.75" customHeight="1" x14ac:dyDescent="0.3">
      <c r="C43" s="421"/>
      <c r="D43" s="21"/>
      <c r="V43" s="294">
        <f t="shared" si="45"/>
        <v>55609</v>
      </c>
      <c r="W43" s="366">
        <f t="shared" si="29"/>
        <v>26</v>
      </c>
      <c r="X43" s="366" t="str">
        <f t="shared" si="30"/>
        <v>-</v>
      </c>
      <c r="Y43" s="106">
        <f t="shared" si="0"/>
        <v>0</v>
      </c>
      <c r="Z43" s="107">
        <f t="shared" si="1"/>
        <v>0</v>
      </c>
      <c r="AA43" s="107">
        <f t="shared" si="2"/>
        <v>0</v>
      </c>
      <c r="AB43" s="107">
        <f t="shared" si="3"/>
        <v>0</v>
      </c>
      <c r="AC43" s="108">
        <f t="shared" si="46"/>
        <v>0</v>
      </c>
      <c r="AD43" s="106">
        <f t="shared" si="47"/>
        <v>0</v>
      </c>
      <c r="AE43" s="107">
        <f t="shared" si="5"/>
        <v>0</v>
      </c>
      <c r="AF43" s="107">
        <f t="shared" si="32"/>
        <v>0</v>
      </c>
      <c r="AG43" s="368">
        <f>IF(AND($W43&gt;$O$83, SUM($AA$17:AA42)&gt;0,SUM($AG$17:AG42)&lt;$O$79),$O$82,0)</f>
        <v>64.125</v>
      </c>
      <c r="AH43" s="107">
        <f>IF(SUM($AA$18:$AA42)&gt;0,($O$79-SUM($AG$18:$AG42))*$F$83,0)</f>
        <v>1.2504375000000001</v>
      </c>
      <c r="AI43" s="108">
        <f t="shared" si="48"/>
        <v>65.375437500000004</v>
      </c>
      <c r="AJ43" s="113">
        <f t="shared" si="49"/>
        <v>-65.375437500000004</v>
      </c>
      <c r="AK43" s="115">
        <f t="shared" si="34"/>
        <v>0</v>
      </c>
      <c r="AL43" s="277"/>
      <c r="AM43" s="264">
        <f t="shared" si="50"/>
        <v>-25.869715713971029</v>
      </c>
      <c r="AN43" s="278"/>
      <c r="AO43" s="266">
        <f t="shared" si="8"/>
        <v>0</v>
      </c>
      <c r="AP43" s="263">
        <f t="shared" si="9"/>
        <v>0</v>
      </c>
      <c r="AQ43" s="263">
        <f t="shared" si="10"/>
        <v>0</v>
      </c>
      <c r="AR43" s="260">
        <f t="shared" si="11"/>
        <v>0</v>
      </c>
      <c r="AS43" s="261">
        <f t="shared" si="51"/>
        <v>0</v>
      </c>
      <c r="AT43" s="260">
        <f t="shared" si="52"/>
        <v>0</v>
      </c>
      <c r="AU43" s="260">
        <f t="shared" si="13"/>
        <v>0</v>
      </c>
      <c r="AV43" s="260">
        <f t="shared" si="14"/>
        <v>0</v>
      </c>
      <c r="AW43" s="260">
        <f t="shared" si="15"/>
        <v>0</v>
      </c>
      <c r="AX43" s="368">
        <f t="shared" si="36"/>
        <v>0</v>
      </c>
      <c r="AY43" s="260">
        <f t="shared" si="16"/>
        <v>0</v>
      </c>
      <c r="AZ43" s="368">
        <f>IF(AND($W43&gt;$P$83, SUM($AQ$17:AQ42)&gt;0,SUM($AZ$17:AZ42)&lt;$P$79),$P$82,0)</f>
        <v>64.125</v>
      </c>
      <c r="BA43" s="107">
        <f>IF(SUM($AQ$18:$AQ42)&gt;0,($P$79-SUM($AZ$18:$AZ42))*$F$83,0)</f>
        <v>1.2504375000000001</v>
      </c>
      <c r="BB43" s="261">
        <f t="shared" si="53"/>
        <v>65.375437500000004</v>
      </c>
      <c r="BC43" s="263">
        <f t="shared" si="54"/>
        <v>-65.375437500000004</v>
      </c>
      <c r="BD43" s="264">
        <f t="shared" si="55"/>
        <v>-25.869715713971029</v>
      </c>
      <c r="BE43" s="280"/>
      <c r="BF43" s="180">
        <f t="shared" si="56"/>
        <v>0.39571002050993581</v>
      </c>
      <c r="BH43" s="266">
        <f t="shared" si="57"/>
        <v>0</v>
      </c>
      <c r="BI43" s="266">
        <f t="shared" si="58"/>
        <v>0</v>
      </c>
      <c r="BJ43" s="263">
        <f t="shared" si="59"/>
        <v>0</v>
      </c>
      <c r="BK43" s="263">
        <f t="shared" si="60"/>
        <v>0</v>
      </c>
      <c r="BL43" s="263">
        <f t="shared" si="61"/>
        <v>0</v>
      </c>
      <c r="BM43" s="260">
        <f t="shared" si="18"/>
        <v>0</v>
      </c>
      <c r="BN43" s="264">
        <f t="shared" si="62"/>
        <v>0</v>
      </c>
      <c r="BO43" s="263">
        <f t="shared" si="63"/>
        <v>0</v>
      </c>
      <c r="BP43" s="263">
        <f t="shared" si="21"/>
        <v>0</v>
      </c>
      <c r="BQ43" s="263">
        <f t="shared" si="22"/>
        <v>0</v>
      </c>
      <c r="BR43" s="263">
        <f t="shared" si="23"/>
        <v>0</v>
      </c>
      <c r="BS43" s="263">
        <f t="shared" si="24"/>
        <v>0</v>
      </c>
      <c r="BT43" s="107">
        <f t="shared" si="42"/>
        <v>0</v>
      </c>
      <c r="BU43" s="264">
        <f t="shared" si="64"/>
        <v>0</v>
      </c>
      <c r="BV43" s="264">
        <f t="shared" si="65"/>
        <v>0</v>
      </c>
      <c r="BW43" s="265"/>
      <c r="BX43" s="361">
        <f t="shared" si="26"/>
        <v>0</v>
      </c>
      <c r="BY43" s="499">
        <f t="shared" si="66"/>
        <v>0</v>
      </c>
    </row>
    <row r="44" spans="2:77" ht="15.75" customHeight="1" x14ac:dyDescent="0.3">
      <c r="V44" s="294">
        <f t="shared" si="45"/>
        <v>55974</v>
      </c>
      <c r="W44" s="366">
        <f t="shared" si="29"/>
        <v>27</v>
      </c>
      <c r="X44" s="366" t="str">
        <f t="shared" si="30"/>
        <v>-</v>
      </c>
      <c r="Y44" s="106">
        <f t="shared" si="0"/>
        <v>0</v>
      </c>
      <c r="Z44" s="107">
        <f t="shared" si="1"/>
        <v>0</v>
      </c>
      <c r="AA44" s="107">
        <f t="shared" si="2"/>
        <v>0</v>
      </c>
      <c r="AB44" s="107">
        <f t="shared" si="3"/>
        <v>0</v>
      </c>
      <c r="AC44" s="108">
        <f t="shared" si="46"/>
        <v>0</v>
      </c>
      <c r="AD44" s="106">
        <f t="shared" si="47"/>
        <v>0</v>
      </c>
      <c r="AE44" s="107">
        <f t="shared" si="5"/>
        <v>0</v>
      </c>
      <c r="AF44" s="107">
        <f t="shared" si="32"/>
        <v>0</v>
      </c>
      <c r="AG44" s="368">
        <f>IF(AND($W44&gt;$O$83, SUM($AA$17:AA43)&gt;0,SUM($AG$17:AG43)&lt;$O$79),$O$82,0)</f>
        <v>0</v>
      </c>
      <c r="AH44" s="107">
        <f>IF(SUM($AA$18:$AA43)&gt;0,($O$79-SUM($AG$18:$AG43))*$F$83,0)</f>
        <v>0</v>
      </c>
      <c r="AI44" s="108">
        <f t="shared" si="48"/>
        <v>0</v>
      </c>
      <c r="AJ44" s="113">
        <f t="shared" si="49"/>
        <v>0</v>
      </c>
      <c r="AK44" s="115">
        <f t="shared" si="34"/>
        <v>0</v>
      </c>
      <c r="AL44" s="277"/>
      <c r="AM44" s="264">
        <f t="shared" si="50"/>
        <v>0</v>
      </c>
      <c r="AN44" s="278"/>
      <c r="AO44" s="266">
        <f t="shared" si="8"/>
        <v>0</v>
      </c>
      <c r="AP44" s="263">
        <f t="shared" si="9"/>
        <v>0</v>
      </c>
      <c r="AQ44" s="263">
        <f t="shared" si="10"/>
        <v>0</v>
      </c>
      <c r="AR44" s="260">
        <f t="shared" si="11"/>
        <v>0</v>
      </c>
      <c r="AS44" s="261">
        <f t="shared" si="51"/>
        <v>0</v>
      </c>
      <c r="AT44" s="260">
        <f t="shared" si="52"/>
        <v>0</v>
      </c>
      <c r="AU44" s="260">
        <f t="shared" si="13"/>
        <v>0</v>
      </c>
      <c r="AV44" s="260">
        <f t="shared" si="14"/>
        <v>0</v>
      </c>
      <c r="AW44" s="260">
        <f t="shared" si="15"/>
        <v>0</v>
      </c>
      <c r="AX44" s="368">
        <f t="shared" si="36"/>
        <v>0</v>
      </c>
      <c r="AY44" s="260">
        <f t="shared" si="16"/>
        <v>0</v>
      </c>
      <c r="AZ44" s="368">
        <f>IF(AND($W44&gt;$P$83, SUM($AQ$17:AQ43)&gt;0,SUM($AZ$17:AZ43)&lt;$P$79),$P$82,0)</f>
        <v>0</v>
      </c>
      <c r="BA44" s="107">
        <f>IF(SUM($AQ$18:$AQ43)&gt;0,($P$79-SUM($AZ$18:$AZ43))*$F$83,0)</f>
        <v>0</v>
      </c>
      <c r="BB44" s="261">
        <f t="shared" si="53"/>
        <v>0</v>
      </c>
      <c r="BC44" s="263">
        <f t="shared" si="54"/>
        <v>0</v>
      </c>
      <c r="BD44" s="264">
        <f t="shared" si="55"/>
        <v>0</v>
      </c>
      <c r="BE44" s="280"/>
      <c r="BF44" s="180">
        <f t="shared" si="56"/>
        <v>0.3818489052493832</v>
      </c>
      <c r="BH44" s="266">
        <f t="shared" si="57"/>
        <v>0</v>
      </c>
      <c r="BI44" s="266">
        <f t="shared" si="58"/>
        <v>0</v>
      </c>
      <c r="BJ44" s="263">
        <f t="shared" si="59"/>
        <v>0</v>
      </c>
      <c r="BK44" s="263">
        <f t="shared" si="60"/>
        <v>0</v>
      </c>
      <c r="BL44" s="263">
        <f t="shared" si="61"/>
        <v>0</v>
      </c>
      <c r="BM44" s="260">
        <f t="shared" si="18"/>
        <v>0</v>
      </c>
      <c r="BN44" s="264">
        <f t="shared" si="62"/>
        <v>0</v>
      </c>
      <c r="BO44" s="263">
        <f t="shared" si="63"/>
        <v>0</v>
      </c>
      <c r="BP44" s="263">
        <f t="shared" si="21"/>
        <v>0</v>
      </c>
      <c r="BQ44" s="263">
        <f t="shared" si="22"/>
        <v>0</v>
      </c>
      <c r="BR44" s="263">
        <f t="shared" si="23"/>
        <v>0</v>
      </c>
      <c r="BS44" s="263">
        <f t="shared" si="24"/>
        <v>0</v>
      </c>
      <c r="BT44" s="107">
        <f t="shared" si="42"/>
        <v>0</v>
      </c>
      <c r="BU44" s="264">
        <f t="shared" si="64"/>
        <v>0</v>
      </c>
      <c r="BV44" s="264">
        <f t="shared" si="65"/>
        <v>0</v>
      </c>
      <c r="BW44" s="265"/>
      <c r="BX44" s="361">
        <f t="shared" si="26"/>
        <v>0</v>
      </c>
      <c r="BY44" s="499">
        <f t="shared" si="66"/>
        <v>0</v>
      </c>
    </row>
    <row r="45" spans="2:77" ht="15.75" customHeight="1" x14ac:dyDescent="0.3">
      <c r="B45" s="223" t="s">
        <v>168</v>
      </c>
      <c r="J45" s="223" t="s">
        <v>168</v>
      </c>
      <c r="V45" s="294">
        <f t="shared" si="45"/>
        <v>56339</v>
      </c>
      <c r="W45" s="366">
        <f t="shared" si="29"/>
        <v>28</v>
      </c>
      <c r="X45" s="366" t="str">
        <f t="shared" si="30"/>
        <v>-</v>
      </c>
      <c r="Y45" s="106">
        <f t="shared" si="0"/>
        <v>0</v>
      </c>
      <c r="Z45" s="107">
        <f t="shared" si="1"/>
        <v>0</v>
      </c>
      <c r="AA45" s="107">
        <f t="shared" si="2"/>
        <v>0</v>
      </c>
      <c r="AB45" s="107">
        <f t="shared" si="3"/>
        <v>0</v>
      </c>
      <c r="AC45" s="108">
        <f t="shared" si="46"/>
        <v>0</v>
      </c>
      <c r="AD45" s="106">
        <f t="shared" si="47"/>
        <v>0</v>
      </c>
      <c r="AE45" s="107">
        <f t="shared" si="5"/>
        <v>0</v>
      </c>
      <c r="AF45" s="107">
        <f t="shared" si="32"/>
        <v>0</v>
      </c>
      <c r="AG45" s="368">
        <f>IF(AND($W45&gt;$O$83, SUM($AA$17:AA44)&gt;0,SUM($AG$17:AG44)&lt;$O$79),$O$82,0)</f>
        <v>0</v>
      </c>
      <c r="AH45" s="107">
        <f>IF(SUM($AA$18:$AA44)&gt;0,($O$79-SUM($AG$18:$AG44))*$F$83,0)</f>
        <v>0</v>
      </c>
      <c r="AI45" s="108">
        <f t="shared" si="48"/>
        <v>0</v>
      </c>
      <c r="AJ45" s="113">
        <f t="shared" si="49"/>
        <v>0</v>
      </c>
      <c r="AK45" s="115">
        <f t="shared" si="34"/>
        <v>0</v>
      </c>
      <c r="AL45" s="277"/>
      <c r="AM45" s="264">
        <f t="shared" si="50"/>
        <v>0</v>
      </c>
      <c r="AN45" s="278"/>
      <c r="AO45" s="266">
        <f t="shared" si="8"/>
        <v>0</v>
      </c>
      <c r="AP45" s="263">
        <f t="shared" si="9"/>
        <v>0</v>
      </c>
      <c r="AQ45" s="263">
        <f t="shared" si="10"/>
        <v>0</v>
      </c>
      <c r="AR45" s="260">
        <f t="shared" si="11"/>
        <v>0</v>
      </c>
      <c r="AS45" s="261">
        <f t="shared" si="51"/>
        <v>0</v>
      </c>
      <c r="AT45" s="260">
        <f t="shared" si="52"/>
        <v>0</v>
      </c>
      <c r="AU45" s="260">
        <f t="shared" si="13"/>
        <v>0</v>
      </c>
      <c r="AV45" s="260">
        <f t="shared" si="14"/>
        <v>0</v>
      </c>
      <c r="AW45" s="260">
        <f t="shared" si="15"/>
        <v>0</v>
      </c>
      <c r="AX45" s="368">
        <f t="shared" si="36"/>
        <v>0</v>
      </c>
      <c r="AY45" s="260">
        <f t="shared" si="16"/>
        <v>0</v>
      </c>
      <c r="AZ45" s="368">
        <f>IF(AND($W45&gt;$P$83, SUM($AQ$17:AQ44)&gt;0,SUM($AZ$17:AZ44)&lt;$P$79),$P$82,0)</f>
        <v>0</v>
      </c>
      <c r="BA45" s="107">
        <f>IF(SUM($AQ$18:$AQ44)&gt;0,($P$79-SUM($AZ$18:$AZ44))*$F$83,0)</f>
        <v>0</v>
      </c>
      <c r="BB45" s="261">
        <f t="shared" si="53"/>
        <v>0</v>
      </c>
      <c r="BC45" s="263">
        <f t="shared" si="54"/>
        <v>0</v>
      </c>
      <c r="BD45" s="264">
        <f t="shared" si="55"/>
        <v>0</v>
      </c>
      <c r="BE45" s="280"/>
      <c r="BF45" s="180">
        <f t="shared" si="56"/>
        <v>0.36847332360260848</v>
      </c>
      <c r="BH45" s="266">
        <f t="shared" si="57"/>
        <v>0</v>
      </c>
      <c r="BI45" s="266">
        <f t="shared" si="58"/>
        <v>0</v>
      </c>
      <c r="BJ45" s="263">
        <f t="shared" si="59"/>
        <v>0</v>
      </c>
      <c r="BK45" s="263">
        <f t="shared" si="60"/>
        <v>0</v>
      </c>
      <c r="BL45" s="263">
        <f t="shared" si="61"/>
        <v>0</v>
      </c>
      <c r="BM45" s="260">
        <f t="shared" si="18"/>
        <v>0</v>
      </c>
      <c r="BN45" s="264">
        <f t="shared" si="62"/>
        <v>0</v>
      </c>
      <c r="BO45" s="263">
        <f t="shared" si="63"/>
        <v>0</v>
      </c>
      <c r="BP45" s="263">
        <f t="shared" si="21"/>
        <v>0</v>
      </c>
      <c r="BQ45" s="263">
        <f t="shared" si="22"/>
        <v>0</v>
      </c>
      <c r="BR45" s="263">
        <f t="shared" si="23"/>
        <v>0</v>
      </c>
      <c r="BS45" s="263">
        <f t="shared" si="24"/>
        <v>0</v>
      </c>
      <c r="BT45" s="107">
        <f t="shared" si="42"/>
        <v>0</v>
      </c>
      <c r="BU45" s="264">
        <f t="shared" si="64"/>
        <v>0</v>
      </c>
      <c r="BV45" s="264">
        <f t="shared" si="65"/>
        <v>0</v>
      </c>
      <c r="BW45" s="265"/>
      <c r="BX45" s="361">
        <f t="shared" si="26"/>
        <v>0</v>
      </c>
      <c r="BY45" s="499">
        <f t="shared" si="66"/>
        <v>0</v>
      </c>
    </row>
    <row r="46" spans="2:77" ht="15.75" customHeight="1" x14ac:dyDescent="0.45">
      <c r="D46" s="191" t="s">
        <v>21</v>
      </c>
      <c r="F46" s="413"/>
      <c r="H46" s="120" t="s">
        <v>169</v>
      </c>
      <c r="J46" s="35"/>
      <c r="K46" s="119" t="s">
        <v>170</v>
      </c>
      <c r="N46" s="191" t="s">
        <v>21</v>
      </c>
      <c r="O46" s="433"/>
      <c r="P46" s="433"/>
      <c r="V46" s="294">
        <f t="shared" si="45"/>
        <v>56704</v>
      </c>
      <c r="W46" s="366">
        <f t="shared" si="29"/>
        <v>29</v>
      </c>
      <c r="X46" s="366" t="str">
        <f t="shared" si="30"/>
        <v>-</v>
      </c>
      <c r="Y46" s="106">
        <f t="shared" si="0"/>
        <v>0</v>
      </c>
      <c r="Z46" s="107">
        <f t="shared" si="1"/>
        <v>0</v>
      </c>
      <c r="AA46" s="107">
        <f t="shared" si="2"/>
        <v>0</v>
      </c>
      <c r="AB46" s="107">
        <f t="shared" si="3"/>
        <v>0</v>
      </c>
      <c r="AC46" s="108">
        <f t="shared" si="46"/>
        <v>0</v>
      </c>
      <c r="AD46" s="106">
        <f t="shared" si="47"/>
        <v>0</v>
      </c>
      <c r="AE46" s="107">
        <f t="shared" si="5"/>
        <v>0</v>
      </c>
      <c r="AF46" s="107">
        <f t="shared" si="32"/>
        <v>0</v>
      </c>
      <c r="AG46" s="368">
        <f>IF(AND($W46&gt;$O$83, SUM($AA$17:AA45)&gt;0,SUM($AG$17:AG45)&lt;$O$79),$O$82,0)</f>
        <v>0</v>
      </c>
      <c r="AH46" s="107">
        <f>IF(SUM($AA$18:$AA45)&gt;0,($O$79-SUM($AG$18:$AG45))*$F$83,0)</f>
        <v>0</v>
      </c>
      <c r="AI46" s="108">
        <f t="shared" si="48"/>
        <v>0</v>
      </c>
      <c r="AJ46" s="113">
        <f t="shared" si="49"/>
        <v>0</v>
      </c>
      <c r="AK46" s="115">
        <f t="shared" si="34"/>
        <v>0</v>
      </c>
      <c r="AL46" s="277"/>
      <c r="AM46" s="264">
        <f t="shared" si="50"/>
        <v>0</v>
      </c>
      <c r="AN46" s="278"/>
      <c r="AO46" s="266">
        <f t="shared" si="8"/>
        <v>0</v>
      </c>
      <c r="AP46" s="263">
        <f t="shared" si="9"/>
        <v>0</v>
      </c>
      <c r="AQ46" s="263">
        <f t="shared" si="10"/>
        <v>0</v>
      </c>
      <c r="AR46" s="260">
        <f t="shared" si="11"/>
        <v>0</v>
      </c>
      <c r="AS46" s="261">
        <f t="shared" si="51"/>
        <v>0</v>
      </c>
      <c r="AT46" s="260">
        <f t="shared" si="52"/>
        <v>0</v>
      </c>
      <c r="AU46" s="260">
        <f t="shared" si="13"/>
        <v>0</v>
      </c>
      <c r="AV46" s="260">
        <f t="shared" si="14"/>
        <v>0</v>
      </c>
      <c r="AW46" s="260">
        <f t="shared" si="15"/>
        <v>0</v>
      </c>
      <c r="AX46" s="368">
        <f t="shared" si="36"/>
        <v>0</v>
      </c>
      <c r="AY46" s="260">
        <f t="shared" si="16"/>
        <v>0</v>
      </c>
      <c r="AZ46" s="368">
        <f>IF(AND($W46&gt;$P$83, SUM($AQ$17:AQ45)&gt;0,SUM($AZ$17:AZ45)&lt;$P$79),$P$82,0)</f>
        <v>0</v>
      </c>
      <c r="BA46" s="107">
        <f>IF(SUM($AQ$18:$AQ45)&gt;0,($P$79-SUM($AZ$18:$AZ45))*$F$83,0)</f>
        <v>0</v>
      </c>
      <c r="BB46" s="261">
        <f t="shared" si="53"/>
        <v>0</v>
      </c>
      <c r="BC46" s="263">
        <f t="shared" si="54"/>
        <v>0</v>
      </c>
      <c r="BD46" s="264">
        <f t="shared" si="55"/>
        <v>0</v>
      </c>
      <c r="BE46" s="280"/>
      <c r="BF46" s="180">
        <f t="shared" si="56"/>
        <v>0.35556626807160907</v>
      </c>
      <c r="BH46" s="266">
        <f t="shared" si="57"/>
        <v>0</v>
      </c>
      <c r="BI46" s="266">
        <f t="shared" si="58"/>
        <v>0</v>
      </c>
      <c r="BJ46" s="263">
        <f t="shared" si="59"/>
        <v>0</v>
      </c>
      <c r="BK46" s="263">
        <f t="shared" si="60"/>
        <v>0</v>
      </c>
      <c r="BL46" s="263">
        <f t="shared" si="61"/>
        <v>0</v>
      </c>
      <c r="BM46" s="260">
        <f t="shared" si="18"/>
        <v>0</v>
      </c>
      <c r="BN46" s="264">
        <f t="shared" si="62"/>
        <v>0</v>
      </c>
      <c r="BO46" s="263">
        <f t="shared" si="63"/>
        <v>0</v>
      </c>
      <c r="BP46" s="263">
        <f t="shared" si="21"/>
        <v>0</v>
      </c>
      <c r="BQ46" s="263">
        <f t="shared" si="22"/>
        <v>0</v>
      </c>
      <c r="BR46" s="263">
        <f t="shared" si="23"/>
        <v>0</v>
      </c>
      <c r="BS46" s="263">
        <f t="shared" si="24"/>
        <v>0</v>
      </c>
      <c r="BT46" s="107">
        <f t="shared" si="42"/>
        <v>0</v>
      </c>
      <c r="BU46" s="264">
        <f t="shared" si="64"/>
        <v>0</v>
      </c>
      <c r="BV46" s="264">
        <f t="shared" si="65"/>
        <v>0</v>
      </c>
      <c r="BW46" s="265"/>
      <c r="BX46" s="361">
        <f t="shared" si="26"/>
        <v>0</v>
      </c>
      <c r="BY46" s="499">
        <f t="shared" si="66"/>
        <v>0</v>
      </c>
    </row>
    <row r="47" spans="2:77" ht="15.75" customHeight="1" x14ac:dyDescent="0.45">
      <c r="C47" s="21" t="s">
        <v>171</v>
      </c>
      <c r="D47" s="191" t="s">
        <v>21</v>
      </c>
      <c r="F47" s="433"/>
      <c r="H47" s="120" t="s">
        <v>169</v>
      </c>
      <c r="K47" s="119" t="s">
        <v>172</v>
      </c>
      <c r="N47" s="191" t="s">
        <v>21</v>
      </c>
      <c r="O47" s="433"/>
      <c r="P47" s="433"/>
      <c r="V47" s="294">
        <f t="shared" si="45"/>
        <v>57070</v>
      </c>
      <c r="W47" s="366">
        <f t="shared" si="29"/>
        <v>30</v>
      </c>
      <c r="X47" s="366" t="str">
        <f t="shared" si="30"/>
        <v>-</v>
      </c>
      <c r="Y47" s="106">
        <f t="shared" si="0"/>
        <v>0</v>
      </c>
      <c r="Z47" s="107">
        <f t="shared" si="1"/>
        <v>0</v>
      </c>
      <c r="AA47" s="107">
        <f t="shared" si="2"/>
        <v>0</v>
      </c>
      <c r="AB47" s="107">
        <f t="shared" si="3"/>
        <v>0</v>
      </c>
      <c r="AC47" s="108">
        <f t="shared" si="46"/>
        <v>0</v>
      </c>
      <c r="AD47" s="106">
        <f t="shared" si="47"/>
        <v>0</v>
      </c>
      <c r="AE47" s="107">
        <f t="shared" si="5"/>
        <v>0</v>
      </c>
      <c r="AF47" s="107">
        <f t="shared" si="32"/>
        <v>0</v>
      </c>
      <c r="AG47" s="368">
        <f>IF(AND($W47&gt;$O$83, SUM($AA$17:AA46)&gt;0,SUM($AG$17:AG46)&lt;$O$79),$O$82,0)</f>
        <v>0</v>
      </c>
      <c r="AH47" s="107">
        <f>IF(SUM($AA$18:$AA46)&gt;0,($O$79-SUM($AG$18:$AG46))*$F$83,0)</f>
        <v>0</v>
      </c>
      <c r="AI47" s="108">
        <f t="shared" si="48"/>
        <v>0</v>
      </c>
      <c r="AJ47" s="113">
        <f t="shared" si="49"/>
        <v>0</v>
      </c>
      <c r="AK47" s="115">
        <f t="shared" si="34"/>
        <v>0</v>
      </c>
      <c r="AL47" s="277"/>
      <c r="AM47" s="264">
        <f t="shared" si="50"/>
        <v>0</v>
      </c>
      <c r="AN47" s="278"/>
      <c r="AO47" s="266">
        <f t="shared" si="8"/>
        <v>0</v>
      </c>
      <c r="AP47" s="263">
        <f t="shared" si="9"/>
        <v>0</v>
      </c>
      <c r="AQ47" s="263">
        <f t="shared" si="10"/>
        <v>0</v>
      </c>
      <c r="AR47" s="260">
        <f t="shared" si="11"/>
        <v>0</v>
      </c>
      <c r="AS47" s="261">
        <f t="shared" si="51"/>
        <v>0</v>
      </c>
      <c r="AT47" s="260">
        <f t="shared" si="52"/>
        <v>0</v>
      </c>
      <c r="AU47" s="260">
        <f t="shared" si="13"/>
        <v>0</v>
      </c>
      <c r="AV47" s="260">
        <f t="shared" si="14"/>
        <v>0</v>
      </c>
      <c r="AW47" s="260">
        <f t="shared" si="15"/>
        <v>0</v>
      </c>
      <c r="AX47" s="368">
        <f t="shared" si="36"/>
        <v>0</v>
      </c>
      <c r="AY47" s="260">
        <f t="shared" si="16"/>
        <v>0</v>
      </c>
      <c r="AZ47" s="368">
        <f>IF(AND($W47&gt;$P$83, SUM($AQ$17:AQ46)&gt;0,SUM($AZ$17:AZ46)&lt;$P$79),$P$82,0)</f>
        <v>0</v>
      </c>
      <c r="BA47" s="107">
        <f>IF(SUM($AQ$18:$AQ46)&gt;0,($P$79-SUM($AZ$18:$AZ46))*$F$83,0)</f>
        <v>0</v>
      </c>
      <c r="BB47" s="261">
        <f t="shared" si="53"/>
        <v>0</v>
      </c>
      <c r="BC47" s="263">
        <f t="shared" si="54"/>
        <v>0</v>
      </c>
      <c r="BD47" s="264">
        <f t="shared" si="55"/>
        <v>0</v>
      </c>
      <c r="BE47" s="280"/>
      <c r="BF47" s="181">
        <f t="shared" si="56"/>
        <v>0.34311132690495905</v>
      </c>
      <c r="BH47" s="266">
        <f t="shared" si="57"/>
        <v>0</v>
      </c>
      <c r="BI47" s="266">
        <f t="shared" si="58"/>
        <v>0</v>
      </c>
      <c r="BJ47" s="263">
        <f t="shared" si="59"/>
        <v>0</v>
      </c>
      <c r="BK47" s="263">
        <f t="shared" si="60"/>
        <v>0</v>
      </c>
      <c r="BL47" s="263">
        <f t="shared" si="61"/>
        <v>0</v>
      </c>
      <c r="BM47" s="260">
        <f t="shared" si="18"/>
        <v>0</v>
      </c>
      <c r="BN47" s="261">
        <f t="shared" si="62"/>
        <v>0</v>
      </c>
      <c r="BO47" s="263">
        <f t="shared" si="63"/>
        <v>0</v>
      </c>
      <c r="BP47" s="263">
        <f t="shared" si="21"/>
        <v>0</v>
      </c>
      <c r="BQ47" s="263">
        <f t="shared" si="22"/>
        <v>0</v>
      </c>
      <c r="BR47" s="263">
        <f t="shared" si="23"/>
        <v>0</v>
      </c>
      <c r="BS47" s="263">
        <f t="shared" si="24"/>
        <v>0</v>
      </c>
      <c r="BT47" s="107">
        <f t="shared" si="42"/>
        <v>0</v>
      </c>
      <c r="BU47" s="264">
        <f t="shared" si="64"/>
        <v>0</v>
      </c>
      <c r="BV47" s="261">
        <f t="shared" si="65"/>
        <v>0</v>
      </c>
      <c r="BW47" s="265"/>
      <c r="BX47" s="361">
        <f t="shared" si="26"/>
        <v>0</v>
      </c>
      <c r="BY47" s="499">
        <f t="shared" si="66"/>
        <v>0</v>
      </c>
    </row>
    <row r="48" spans="2:77" ht="15.75" customHeight="1" thickBot="1" x14ac:dyDescent="0.5">
      <c r="C48" s="21" t="s">
        <v>173</v>
      </c>
      <c r="D48" s="191" t="s">
        <v>21</v>
      </c>
      <c r="F48" s="433"/>
      <c r="H48" s="120" t="s">
        <v>169</v>
      </c>
      <c r="K48" s="119" t="s">
        <v>174</v>
      </c>
      <c r="N48" s="191" t="s">
        <v>21</v>
      </c>
      <c r="O48" s="433"/>
      <c r="P48" s="433"/>
      <c r="V48" s="289"/>
      <c r="Y48" s="127"/>
      <c r="Z48" s="127"/>
      <c r="AA48" s="95"/>
      <c r="AB48" s="95"/>
      <c r="AC48" s="95"/>
      <c r="AD48" s="95"/>
      <c r="AE48" s="95"/>
      <c r="AF48" s="95"/>
      <c r="AG48" s="107"/>
      <c r="AH48" s="113"/>
      <c r="AI48" s="95"/>
      <c r="AJ48" s="95"/>
      <c r="AK48" s="95"/>
      <c r="AL48" s="95"/>
      <c r="AM48" s="95"/>
      <c r="AN48" s="98"/>
      <c r="AO48" s="95"/>
      <c r="AP48" s="95"/>
      <c r="AQ48" s="95"/>
      <c r="AR48" s="95"/>
      <c r="AS48" s="95"/>
      <c r="AT48" s="95"/>
      <c r="AU48" s="95"/>
      <c r="AV48" s="95"/>
      <c r="AW48" s="95"/>
      <c r="AX48" s="95"/>
      <c r="AY48" s="95"/>
      <c r="AZ48" s="95"/>
      <c r="BA48" s="95"/>
      <c r="BB48" s="95"/>
      <c r="BC48" s="95"/>
      <c r="BD48" s="95"/>
      <c r="BH48" s="95"/>
      <c r="BI48" s="95"/>
      <c r="BJ48" s="95"/>
      <c r="BK48" s="95"/>
      <c r="BL48" s="95"/>
      <c r="BM48" s="95"/>
      <c r="BN48" s="95"/>
      <c r="BO48" s="95"/>
      <c r="BP48" s="95"/>
      <c r="BQ48" s="95"/>
      <c r="BR48" s="95"/>
      <c r="BS48" s="95"/>
      <c r="BT48" s="95"/>
      <c r="BU48" s="95"/>
      <c r="BV48" s="95"/>
      <c r="BW48" s="98"/>
    </row>
    <row r="49" spans="2:77" ht="15.75" customHeight="1" thickTop="1" x14ac:dyDescent="0.45">
      <c r="H49" s="120"/>
      <c r="K49" s="119" t="s">
        <v>175</v>
      </c>
      <c r="N49" s="191" t="s">
        <v>21</v>
      </c>
      <c r="O49" s="433"/>
      <c r="P49" s="433"/>
      <c r="V49" s="289"/>
      <c r="X49" s="128" t="s">
        <v>68</v>
      </c>
      <c r="Y49" s="129">
        <f t="shared" ref="Y49:AK49" si="67">SUM(Y18:Y47)</f>
        <v>1140</v>
      </c>
      <c r="Z49" s="129">
        <f t="shared" si="67"/>
        <v>0</v>
      </c>
      <c r="AA49" s="129">
        <f t="shared" si="67"/>
        <v>1282.5</v>
      </c>
      <c r="AB49" s="129">
        <f t="shared" si="67"/>
        <v>0</v>
      </c>
      <c r="AC49" s="129">
        <f t="shared" si="67"/>
        <v>2422.5</v>
      </c>
      <c r="AD49" s="129">
        <f t="shared" si="67"/>
        <v>2850</v>
      </c>
      <c r="AE49" s="129">
        <f t="shared" si="67"/>
        <v>0</v>
      </c>
      <c r="AF49" s="129">
        <f t="shared" si="67"/>
        <v>0</v>
      </c>
      <c r="AG49" s="129">
        <f t="shared" si="67"/>
        <v>1282.5</v>
      </c>
      <c r="AH49" s="129">
        <f t="shared" si="67"/>
        <v>337.61812499999996</v>
      </c>
      <c r="AI49" s="129">
        <f t="shared" si="67"/>
        <v>4470.1181249999991</v>
      </c>
      <c r="AJ49" s="130">
        <f t="shared" si="67"/>
        <v>-2047.6181250000004</v>
      </c>
      <c r="AK49" s="130">
        <f t="shared" si="67"/>
        <v>0</v>
      </c>
      <c r="AL49" s="376">
        <f>SUM(AJ49,AL17)</f>
        <v>-2047.6181250000004</v>
      </c>
      <c r="AM49" s="383">
        <f>SUM(AM17:AM48)</f>
        <v>-1339.7672589313586</v>
      </c>
      <c r="AN49" s="98"/>
      <c r="AO49" s="129">
        <f t="shared" ref="AO49:BD49" si="68">SUM(AO18:AO47)</f>
        <v>1140</v>
      </c>
      <c r="AP49" s="129">
        <f t="shared" si="68"/>
        <v>0</v>
      </c>
      <c r="AQ49" s="129">
        <f t="shared" si="68"/>
        <v>1282.5</v>
      </c>
      <c r="AR49" s="129">
        <f t="shared" si="68"/>
        <v>0</v>
      </c>
      <c r="AS49" s="129">
        <f t="shared" si="68"/>
        <v>2422.5</v>
      </c>
      <c r="AT49" s="129">
        <f t="shared" si="68"/>
        <v>2850</v>
      </c>
      <c r="AU49" s="129">
        <f t="shared" si="68"/>
        <v>0</v>
      </c>
      <c r="AV49" s="129">
        <f t="shared" si="68"/>
        <v>0</v>
      </c>
      <c r="AW49" s="129">
        <f t="shared" si="68"/>
        <v>0</v>
      </c>
      <c r="AX49" s="129">
        <f t="shared" si="68"/>
        <v>30</v>
      </c>
      <c r="AY49" s="129">
        <f t="shared" si="68"/>
        <v>0</v>
      </c>
      <c r="AZ49" s="129">
        <f t="shared" si="68"/>
        <v>1282.5</v>
      </c>
      <c r="BA49" s="129">
        <f t="shared" si="68"/>
        <v>337.61812499999996</v>
      </c>
      <c r="BB49" s="129">
        <f t="shared" si="68"/>
        <v>4500.1181249999991</v>
      </c>
      <c r="BC49" s="130">
        <f t="shared" si="68"/>
        <v>-2077.618125</v>
      </c>
      <c r="BD49" s="130">
        <f t="shared" si="68"/>
        <v>-1367.7142008738062</v>
      </c>
      <c r="BH49" s="131">
        <f t="shared" ref="BH49:BV49" si="69">SUM(BH18:BH47)</f>
        <v>2850</v>
      </c>
      <c r="BI49" s="131">
        <f t="shared" si="69"/>
        <v>0</v>
      </c>
      <c r="BJ49" s="131">
        <f t="shared" si="69"/>
        <v>0</v>
      </c>
      <c r="BK49" s="131">
        <f t="shared" si="69"/>
        <v>0</v>
      </c>
      <c r="BL49" s="131">
        <f t="shared" si="69"/>
        <v>0</v>
      </c>
      <c r="BM49" s="131">
        <f t="shared" si="69"/>
        <v>0</v>
      </c>
      <c r="BN49" s="131">
        <f t="shared" si="69"/>
        <v>2850</v>
      </c>
      <c r="BO49" s="131">
        <f t="shared" si="69"/>
        <v>2850</v>
      </c>
      <c r="BP49" s="131">
        <f t="shared" si="69"/>
        <v>0</v>
      </c>
      <c r="BQ49" s="131">
        <f t="shared" si="69"/>
        <v>0</v>
      </c>
      <c r="BR49" s="131">
        <f t="shared" si="69"/>
        <v>0</v>
      </c>
      <c r="BS49" s="131">
        <f t="shared" si="69"/>
        <v>0</v>
      </c>
      <c r="BT49" s="131">
        <f t="shared" si="69"/>
        <v>0</v>
      </c>
      <c r="BU49" s="131">
        <f t="shared" si="69"/>
        <v>2850</v>
      </c>
      <c r="BV49" s="131">
        <f t="shared" si="69"/>
        <v>0</v>
      </c>
      <c r="BW49" s="98"/>
    </row>
    <row r="50" spans="2:77" ht="15.75" customHeight="1" x14ac:dyDescent="0.55000000000000004">
      <c r="O50" s="377"/>
      <c r="P50" s="377"/>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Y50" s="21"/>
    </row>
    <row r="51" spans="2:77" ht="15.75" customHeight="1" x14ac:dyDescent="0.55000000000000004">
      <c r="B51" s="223" t="s">
        <v>176</v>
      </c>
      <c r="E51" s="22" t="s">
        <v>55</v>
      </c>
      <c r="F51" s="22" t="s">
        <v>98</v>
      </c>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Y51" s="21"/>
    </row>
    <row r="52" spans="2:77" ht="15.75" customHeight="1" x14ac:dyDescent="0.45">
      <c r="B52" s="223"/>
      <c r="C52" s="21" t="s">
        <v>177</v>
      </c>
      <c r="D52" s="191" t="s">
        <v>21</v>
      </c>
      <c r="E52" s="150"/>
      <c r="F52" s="150">
        <v>10</v>
      </c>
      <c r="K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Y52" s="21"/>
    </row>
    <row r="53" spans="2:77" ht="15.75" customHeight="1" x14ac:dyDescent="0.45">
      <c r="C53" s="21" t="s">
        <v>178</v>
      </c>
      <c r="D53" s="191" t="s">
        <v>21</v>
      </c>
      <c r="E53" s="412">
        <v>10</v>
      </c>
      <c r="F53" s="412">
        <v>6</v>
      </c>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Y53" s="21"/>
    </row>
    <row r="54" spans="2:77" ht="15.75" customHeight="1" x14ac:dyDescent="0.55000000000000004">
      <c r="J54" s="223" t="s">
        <v>179</v>
      </c>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Y54" s="21"/>
    </row>
    <row r="55" spans="2:77" ht="15.75" customHeight="1" x14ac:dyDescent="0.45">
      <c r="B55" s="223" t="s">
        <v>179</v>
      </c>
      <c r="D55" s="191" t="s">
        <v>269</v>
      </c>
      <c r="F55" s="441">
        <v>1</v>
      </c>
      <c r="H55" s="120" t="s">
        <v>180</v>
      </c>
      <c r="M55" s="21" t="s">
        <v>181</v>
      </c>
      <c r="N55" s="191" t="s">
        <v>21</v>
      </c>
      <c r="O55" s="169"/>
      <c r="P55" s="299">
        <f>F136</f>
        <v>0</v>
      </c>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Y55" s="21"/>
    </row>
    <row r="56" spans="2:77" ht="15.75" customHeight="1" x14ac:dyDescent="0.45">
      <c r="M56" s="21" t="s">
        <v>182</v>
      </c>
      <c r="N56" s="191" t="s">
        <v>21</v>
      </c>
      <c r="O56" s="170"/>
      <c r="P56" s="300">
        <f>F137*$F$18</f>
        <v>0</v>
      </c>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Y56" s="21"/>
    </row>
    <row r="57" spans="2:77" ht="15.75" customHeight="1" thickBot="1" x14ac:dyDescent="0.5">
      <c r="D57" s="21"/>
      <c r="M57" s="21" t="s">
        <v>183</v>
      </c>
      <c r="N57" s="191" t="s">
        <v>21</v>
      </c>
      <c r="O57" s="170"/>
      <c r="P57" s="300">
        <f>SUM(P101,P103)+P105*F18</f>
        <v>0</v>
      </c>
      <c r="Q57" s="21" t="s">
        <v>184</v>
      </c>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Y57" s="21"/>
    </row>
    <row r="58" spans="2:77" ht="15.75" customHeight="1" thickBot="1" x14ac:dyDescent="0.5">
      <c r="I58" s="295"/>
      <c r="K58" s="378" t="s">
        <v>185</v>
      </c>
      <c r="L58" s="134"/>
      <c r="M58" s="134"/>
      <c r="N58" s="194" t="s">
        <v>21</v>
      </c>
      <c r="O58" s="171"/>
      <c r="P58" s="426">
        <f>SUM(P55:P56)*$F$55</f>
        <v>0</v>
      </c>
      <c r="Q58" s="21" t="s">
        <v>186</v>
      </c>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row>
    <row r="59" spans="2:77" ht="15.75" customHeight="1" x14ac:dyDescent="0.45">
      <c r="M59" s="21" t="s">
        <v>187</v>
      </c>
      <c r="N59" s="191" t="s">
        <v>21</v>
      </c>
      <c r="O59" s="172"/>
      <c r="P59" s="427">
        <f>F137</f>
        <v>0</v>
      </c>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row>
    <row r="60" spans="2:77" ht="15.75" customHeight="1" thickBot="1" x14ac:dyDescent="0.5">
      <c r="M60" s="21" t="s">
        <v>188</v>
      </c>
      <c r="N60" s="191" t="s">
        <v>21</v>
      </c>
      <c r="O60" s="172"/>
      <c r="P60" s="428">
        <f>P107</f>
        <v>0</v>
      </c>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row>
    <row r="61" spans="2:77" ht="15.75" customHeight="1" thickBot="1" x14ac:dyDescent="0.5">
      <c r="K61" s="378" t="s">
        <v>189</v>
      </c>
      <c r="L61" s="134"/>
      <c r="M61" s="134"/>
      <c r="N61" s="194" t="s">
        <v>21</v>
      </c>
      <c r="O61" s="171"/>
      <c r="P61" s="426">
        <f>SUM(P59:P60)*$F$55</f>
        <v>0</v>
      </c>
      <c r="Q61" s="21" t="s">
        <v>190</v>
      </c>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row>
    <row r="62" spans="2:77" ht="15.75" customHeight="1" x14ac:dyDescent="0.55000000000000004">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row>
    <row r="63" spans="2:77" ht="15.75" customHeight="1" x14ac:dyDescent="0.55000000000000004">
      <c r="N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row>
    <row r="64" spans="2:77" ht="15.75" customHeight="1" x14ac:dyDescent="0.55000000000000004">
      <c r="B64" s="226" t="s">
        <v>270</v>
      </c>
      <c r="J64" s="223" t="s">
        <v>192</v>
      </c>
      <c r="K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row>
    <row r="65" spans="1:75" ht="15.75" customHeight="1" x14ac:dyDescent="0.45">
      <c r="C65" s="21" t="s">
        <v>193</v>
      </c>
      <c r="D65" s="191" t="s">
        <v>25</v>
      </c>
      <c r="F65" s="315">
        <v>0.95</v>
      </c>
      <c r="J65" s="223"/>
      <c r="K65" s="21" t="s">
        <v>59</v>
      </c>
      <c r="N65" s="191" t="s">
        <v>21</v>
      </c>
      <c r="O65" s="91">
        <f>O35/$F$65</f>
        <v>3000</v>
      </c>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row>
    <row r="66" spans="1:75" ht="15.75" customHeight="1" x14ac:dyDescent="0.45">
      <c r="B66" s="119"/>
      <c r="C66" s="21" t="s">
        <v>194</v>
      </c>
      <c r="D66" s="191" t="s">
        <v>25</v>
      </c>
      <c r="F66" s="386">
        <f>事業費用概算!I31</f>
        <v>0.05</v>
      </c>
      <c r="J66" s="223"/>
      <c r="K66" s="21" t="s">
        <v>195</v>
      </c>
      <c r="N66" s="191" t="s">
        <v>21</v>
      </c>
      <c r="O66" s="321">
        <f>O46/$F$65*$F$19</f>
        <v>0</v>
      </c>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row>
    <row r="67" spans="1:75" ht="15.75" customHeight="1" x14ac:dyDescent="0.45">
      <c r="B67" s="119"/>
      <c r="C67" s="21" t="s">
        <v>196</v>
      </c>
      <c r="D67" s="191" t="s">
        <v>25</v>
      </c>
      <c r="F67" s="413"/>
      <c r="H67" s="120" t="s">
        <v>169</v>
      </c>
      <c r="J67" s="223"/>
      <c r="K67" s="241" t="s">
        <v>197</v>
      </c>
      <c r="L67" s="241"/>
      <c r="M67" s="241"/>
      <c r="N67" s="241" t="s">
        <v>21</v>
      </c>
      <c r="O67" s="322">
        <f>SUM(O65:O66)</f>
        <v>3000</v>
      </c>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row>
    <row r="68" spans="1:75" ht="15.75" customHeight="1" x14ac:dyDescent="0.55000000000000004">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row>
    <row r="69" spans="1:75" ht="15.75" customHeight="1" thickBot="1" x14ac:dyDescent="0.6">
      <c r="A69" s="210" t="s">
        <v>31</v>
      </c>
      <c r="B69" s="225"/>
      <c r="C69" s="202"/>
      <c r="D69" s="203"/>
      <c r="E69" s="202"/>
      <c r="F69" s="202"/>
      <c r="G69" s="202"/>
      <c r="H69" s="202"/>
      <c r="I69" s="217" t="s">
        <v>31</v>
      </c>
      <c r="J69" s="225"/>
      <c r="K69" s="338"/>
      <c r="L69" s="202"/>
      <c r="M69" s="202"/>
      <c r="N69" s="203"/>
      <c r="O69" s="202"/>
      <c r="P69" s="202"/>
      <c r="Q69" s="202"/>
      <c r="R69" s="202"/>
      <c r="S69" s="202"/>
      <c r="T69" s="203"/>
      <c r="U69" s="202"/>
      <c r="AL69" s="21"/>
    </row>
    <row r="70" spans="1:75" ht="15.75" customHeight="1" x14ac:dyDescent="0.55000000000000004">
      <c r="AL70" s="21"/>
    </row>
    <row r="71" spans="1:75" ht="15.75" customHeight="1" x14ac:dyDescent="0.55000000000000004">
      <c r="B71" s="228" t="s">
        <v>198</v>
      </c>
      <c r="C71" s="422"/>
      <c r="T71" s="191"/>
      <c r="V71" s="289"/>
      <c r="Y71" s="23"/>
      <c r="Z71" s="23"/>
      <c r="AA71" s="24"/>
      <c r="AB71" s="24"/>
      <c r="AC71" s="24"/>
      <c r="AD71" s="24"/>
      <c r="AE71" s="24"/>
      <c r="AF71" s="24"/>
      <c r="AG71" s="24"/>
      <c r="AH71" s="24"/>
      <c r="AI71" s="24"/>
      <c r="AJ71" s="24"/>
      <c r="AK71" s="25"/>
      <c r="AL71" s="25"/>
      <c r="AM71" s="25"/>
      <c r="AO71" s="25"/>
      <c r="AP71" s="24"/>
      <c r="AQ71" s="24"/>
      <c r="AR71" s="24"/>
      <c r="AS71" s="24"/>
      <c r="AT71" s="24"/>
      <c r="AU71" s="24"/>
      <c r="AV71" s="24"/>
      <c r="AW71" s="24"/>
      <c r="AX71" s="24"/>
      <c r="AY71" s="24"/>
      <c r="AZ71" s="24"/>
      <c r="BA71" s="24"/>
      <c r="BB71" s="24"/>
      <c r="BC71" s="24"/>
      <c r="BD71" s="24"/>
      <c r="BH71" s="24"/>
      <c r="BI71" s="24"/>
      <c r="BJ71" s="24"/>
      <c r="BK71" s="24"/>
      <c r="BL71" s="24"/>
      <c r="BM71" s="24"/>
      <c r="BN71" s="24"/>
      <c r="BO71" s="24"/>
      <c r="BP71" s="24"/>
      <c r="BQ71" s="24"/>
      <c r="BR71" s="24"/>
      <c r="BS71" s="24"/>
      <c r="BT71" s="24"/>
      <c r="BU71" s="24"/>
      <c r="BV71" s="24"/>
    </row>
    <row r="72" spans="1:75" ht="15.75" customHeight="1" x14ac:dyDescent="0.45">
      <c r="C72" s="21" t="s">
        <v>172</v>
      </c>
      <c r="D72" s="191" t="s">
        <v>21</v>
      </c>
      <c r="F72" s="327">
        <v>0</v>
      </c>
      <c r="H72" s="120" t="s">
        <v>169</v>
      </c>
    </row>
    <row r="73" spans="1:75" ht="15.75" customHeight="1" x14ac:dyDescent="0.55000000000000004"/>
    <row r="74" spans="1:75" ht="15.75" customHeight="1" thickBot="1" x14ac:dyDescent="0.6">
      <c r="A74" s="210" t="s">
        <v>35</v>
      </c>
      <c r="B74" s="225"/>
      <c r="C74" s="202"/>
      <c r="D74" s="203"/>
      <c r="E74" s="202"/>
      <c r="F74" s="202"/>
      <c r="G74" s="202"/>
      <c r="H74" s="202"/>
      <c r="I74" s="217" t="s">
        <v>35</v>
      </c>
      <c r="J74" s="225"/>
      <c r="K74" s="338"/>
      <c r="L74" s="202"/>
      <c r="M74" s="202"/>
      <c r="N74" s="203"/>
      <c r="O74" s="202"/>
      <c r="P74" s="202"/>
      <c r="Q74" s="202"/>
      <c r="R74" s="202"/>
      <c r="S74" s="202"/>
      <c r="T74" s="203"/>
      <c r="U74" s="202"/>
      <c r="V74" s="289"/>
      <c r="Y74" s="23"/>
      <c r="Z74" s="23"/>
      <c r="AA74" s="24"/>
      <c r="AB74" s="24"/>
      <c r="AC74" s="24"/>
      <c r="AD74" s="24"/>
      <c r="AE74" s="24"/>
      <c r="AF74" s="24"/>
      <c r="AG74" s="24"/>
      <c r="AH74" s="24"/>
      <c r="AI74" s="24"/>
      <c r="AJ74" s="24"/>
      <c r="AK74" s="25"/>
      <c r="AL74" s="25"/>
      <c r="AM74" s="25"/>
      <c r="AO74" s="25"/>
      <c r="AP74" s="24"/>
      <c r="AQ74" s="24"/>
      <c r="AR74" s="24"/>
      <c r="AS74" s="24"/>
      <c r="AT74" s="24"/>
      <c r="AU74" s="24"/>
      <c r="AV74" s="24"/>
      <c r="AW74" s="24"/>
      <c r="AX74" s="24"/>
      <c r="AY74" s="24"/>
      <c r="AZ74" s="24"/>
      <c r="BA74" s="24"/>
      <c r="BB74" s="24"/>
      <c r="BC74" s="24"/>
      <c r="BD74" s="24"/>
      <c r="BH74" s="24"/>
      <c r="BI74" s="24"/>
      <c r="BJ74" s="24"/>
      <c r="BK74" s="24"/>
      <c r="BL74" s="24"/>
      <c r="BM74" s="24"/>
      <c r="BN74" s="24"/>
      <c r="BO74" s="24"/>
      <c r="BP74" s="24"/>
      <c r="BQ74" s="24"/>
      <c r="BR74" s="24"/>
      <c r="BS74" s="24"/>
      <c r="BT74" s="24"/>
      <c r="BU74" s="24"/>
      <c r="BV74" s="24"/>
    </row>
    <row r="75" spans="1:75" ht="15.75" customHeight="1" x14ac:dyDescent="0.55000000000000004">
      <c r="A75" s="35"/>
      <c r="J75" s="35"/>
      <c r="V75" s="22"/>
    </row>
    <row r="76" spans="1:75" ht="15.75" customHeight="1" x14ac:dyDescent="0.55000000000000004">
      <c r="A76" s="35"/>
      <c r="B76" s="223" t="s">
        <v>199</v>
      </c>
      <c r="C76" s="422"/>
      <c r="D76" s="410"/>
      <c r="E76" s="25" t="s">
        <v>18</v>
      </c>
      <c r="F76" s="25" t="s">
        <v>200</v>
      </c>
      <c r="I76" s="214"/>
      <c r="J76" s="223" t="s">
        <v>199</v>
      </c>
      <c r="O76" s="21" t="s">
        <v>55</v>
      </c>
      <c r="P76" s="21" t="s">
        <v>98</v>
      </c>
      <c r="T76" s="191"/>
      <c r="V76" s="295"/>
      <c r="Y76" s="23"/>
      <c r="Z76" s="23"/>
      <c r="AA76" s="24"/>
      <c r="AB76" s="24"/>
      <c r="AC76" s="24"/>
      <c r="AD76" s="24"/>
      <c r="AE76" s="24"/>
      <c r="AF76" s="24"/>
      <c r="AG76" s="24"/>
      <c r="AH76" s="24"/>
      <c r="AI76" s="24"/>
      <c r="AJ76" s="24"/>
      <c r="AK76" s="25"/>
      <c r="AL76" s="25"/>
      <c r="AM76" s="25"/>
      <c r="AO76" s="25"/>
      <c r="AP76" s="24"/>
      <c r="AQ76" s="24"/>
      <c r="AR76" s="24"/>
      <c r="AS76" s="24"/>
      <c r="AT76" s="24"/>
      <c r="AU76" s="24"/>
      <c r="AV76" s="24"/>
      <c r="AW76" s="24"/>
      <c r="AX76" s="24"/>
      <c r="AY76" s="24"/>
      <c r="AZ76" s="24"/>
      <c r="BA76" s="24"/>
      <c r="BB76" s="24"/>
      <c r="BC76" s="24"/>
      <c r="BD76" s="24"/>
      <c r="BH76" s="24"/>
      <c r="BI76" s="24"/>
      <c r="BJ76" s="24"/>
      <c r="BK76" s="24"/>
      <c r="BL76" s="24"/>
      <c r="BM76" s="24"/>
      <c r="BN76" s="24"/>
      <c r="BO76" s="24"/>
      <c r="BP76" s="24"/>
      <c r="BQ76" s="24"/>
      <c r="BR76" s="24"/>
      <c r="BS76" s="24"/>
      <c r="BT76" s="24"/>
      <c r="BU76" s="24"/>
      <c r="BV76" s="24"/>
    </row>
    <row r="77" spans="1:75" ht="15.75" customHeight="1" x14ac:dyDescent="0.45">
      <c r="C77" s="21" t="s">
        <v>201</v>
      </c>
      <c r="D77" s="191" t="s">
        <v>21</v>
      </c>
      <c r="E77" s="374">
        <f>O79</f>
        <v>1282.5</v>
      </c>
      <c r="F77" s="374">
        <f>P79</f>
        <v>1282.5</v>
      </c>
      <c r="J77" s="35"/>
      <c r="K77" s="119" t="s">
        <v>202</v>
      </c>
      <c r="N77" s="191" t="s">
        <v>21</v>
      </c>
      <c r="O77" s="168">
        <f>O32</f>
        <v>2850</v>
      </c>
      <c r="P77" s="168">
        <f>P32</f>
        <v>2850</v>
      </c>
      <c r="V77" s="22"/>
    </row>
    <row r="78" spans="1:75" ht="15.75" customHeight="1" x14ac:dyDescent="0.45">
      <c r="C78" s="21" t="s">
        <v>203</v>
      </c>
      <c r="D78" s="191" t="s">
        <v>25</v>
      </c>
      <c r="F78" s="163">
        <v>0.4</v>
      </c>
      <c r="K78" s="119" t="s">
        <v>110</v>
      </c>
      <c r="N78" s="191" t="s">
        <v>21</v>
      </c>
      <c r="O78" s="168">
        <f>O77*$F$78</f>
        <v>1140</v>
      </c>
      <c r="P78" s="168">
        <f t="shared" ref="P78" si="70">P77*$F$78</f>
        <v>1140</v>
      </c>
      <c r="V78" s="22"/>
    </row>
    <row r="79" spans="1:75" ht="15.75" customHeight="1" x14ac:dyDescent="0.45">
      <c r="C79" s="21" t="s">
        <v>204</v>
      </c>
      <c r="D79" s="191" t="s">
        <v>25</v>
      </c>
      <c r="F79" s="157">
        <v>0</v>
      </c>
      <c r="K79" s="119" t="s">
        <v>205</v>
      </c>
      <c r="N79" s="191" t="s">
        <v>21</v>
      </c>
      <c r="O79" s="168">
        <f>(O77-O78)*$F$80</f>
        <v>1282.5</v>
      </c>
      <c r="P79" s="168">
        <f>(P33-P78)*$F$80</f>
        <v>1282.5</v>
      </c>
      <c r="V79" s="22"/>
    </row>
    <row r="80" spans="1:75" x14ac:dyDescent="0.45">
      <c r="C80" s="21" t="s">
        <v>206</v>
      </c>
      <c r="D80" s="191" t="s">
        <v>25</v>
      </c>
      <c r="F80" s="157">
        <v>0.75</v>
      </c>
      <c r="J80" s="35"/>
      <c r="K80" s="119" t="s">
        <v>207</v>
      </c>
      <c r="N80" s="191" t="s">
        <v>21</v>
      </c>
      <c r="O80" s="168">
        <f>O79*$F$79</f>
        <v>0</v>
      </c>
      <c r="P80" s="168">
        <f>P79*$F$79</f>
        <v>0</v>
      </c>
      <c r="V80" s="22"/>
    </row>
    <row r="81" spans="1:93" ht="15.75" customHeight="1" x14ac:dyDescent="0.45">
      <c r="C81" s="21" t="s">
        <v>208</v>
      </c>
      <c r="D81" s="191" t="s">
        <v>14</v>
      </c>
      <c r="F81" s="150">
        <v>20</v>
      </c>
      <c r="K81" s="252" t="s">
        <v>209</v>
      </c>
      <c r="L81" s="250"/>
      <c r="M81" s="250"/>
      <c r="N81" s="191" t="s">
        <v>21</v>
      </c>
      <c r="O81" s="168">
        <f>O77-SUM(O78:O80)</f>
        <v>427.5</v>
      </c>
      <c r="P81" s="168">
        <f>P77-SUM(P78:P80)</f>
        <v>427.5</v>
      </c>
      <c r="V81" s="22"/>
    </row>
    <row r="82" spans="1:93" ht="15.75" customHeight="1" x14ac:dyDescent="0.45">
      <c r="C82" s="21" t="s">
        <v>210</v>
      </c>
      <c r="D82" s="191" t="s">
        <v>211</v>
      </c>
      <c r="F82" s="150">
        <v>3</v>
      </c>
      <c r="K82" s="119" t="s">
        <v>212</v>
      </c>
      <c r="N82" s="191" t="s">
        <v>21</v>
      </c>
      <c r="O82" s="168">
        <f>O79/$F$81</f>
        <v>64.125</v>
      </c>
      <c r="P82" s="168">
        <f>P79/$F$81</f>
        <v>64.125</v>
      </c>
      <c r="V82" s="22"/>
    </row>
    <row r="83" spans="1:93" ht="15.75" customHeight="1" x14ac:dyDescent="0.45">
      <c r="C83" s="21" t="s">
        <v>213</v>
      </c>
      <c r="D83" s="191" t="s">
        <v>25</v>
      </c>
      <c r="F83" s="153">
        <v>1.95E-2</v>
      </c>
      <c r="K83" s="21" t="s">
        <v>214</v>
      </c>
      <c r="N83" s="191" t="s">
        <v>215</v>
      </c>
      <c r="O83" s="168">
        <f>$F82+$F$18</f>
        <v>6</v>
      </c>
      <c r="P83" s="168">
        <f>$F82+$F$18</f>
        <v>6</v>
      </c>
      <c r="V83" s="22"/>
    </row>
    <row r="84" spans="1:93" ht="15.75" customHeight="1" x14ac:dyDescent="0.55000000000000004">
      <c r="V84" s="22"/>
    </row>
    <row r="85" spans="1:93" ht="14.25" customHeight="1" x14ac:dyDescent="0.55000000000000004">
      <c r="A85" s="35"/>
      <c r="B85" s="223" t="s">
        <v>216</v>
      </c>
      <c r="E85" s="21" t="s">
        <v>55</v>
      </c>
      <c r="F85" s="21" t="s">
        <v>98</v>
      </c>
      <c r="I85" s="214"/>
      <c r="J85" s="223" t="s">
        <v>216</v>
      </c>
      <c r="P85" s="21" t="s">
        <v>98</v>
      </c>
      <c r="V85" s="22"/>
    </row>
    <row r="86" spans="1:93" ht="15.75" customHeight="1" x14ac:dyDescent="0.45">
      <c r="C86" s="21" t="s">
        <v>201</v>
      </c>
      <c r="D86" s="191" t="s">
        <v>21</v>
      </c>
      <c r="E86" s="374">
        <f>O95</f>
        <v>0</v>
      </c>
      <c r="F86" s="374">
        <f>P34</f>
        <v>0</v>
      </c>
      <c r="H86" s="120" t="s">
        <v>180</v>
      </c>
      <c r="K86" s="119" t="s">
        <v>217</v>
      </c>
      <c r="N86" s="191" t="s">
        <v>25</v>
      </c>
      <c r="O86" s="22"/>
      <c r="P86" s="433"/>
    </row>
    <row r="87" spans="1:93" ht="15.75" customHeight="1" x14ac:dyDescent="0.45">
      <c r="C87" s="21" t="s">
        <v>164</v>
      </c>
      <c r="D87" s="191" t="s">
        <v>25</v>
      </c>
      <c r="F87" s="415"/>
      <c r="H87" s="120" t="s">
        <v>180</v>
      </c>
    </row>
    <row r="88" spans="1:93" ht="15.75" customHeight="1" x14ac:dyDescent="0.45">
      <c r="C88" s="21" t="s">
        <v>218</v>
      </c>
      <c r="D88" s="191" t="s">
        <v>25</v>
      </c>
      <c r="F88" s="416"/>
      <c r="H88" s="120" t="s">
        <v>180</v>
      </c>
    </row>
    <row r="89" spans="1:93" ht="15.75" customHeight="1" x14ac:dyDescent="0.55000000000000004"/>
    <row r="90" spans="1:93" ht="15.75" customHeight="1" x14ac:dyDescent="0.55000000000000004">
      <c r="J90" s="35"/>
      <c r="O90" s="22"/>
      <c r="P90" s="22"/>
      <c r="R90" s="35"/>
      <c r="S90" s="35"/>
      <c r="T90" s="35"/>
    </row>
    <row r="91" spans="1:93" ht="15.75" customHeight="1" thickBot="1" x14ac:dyDescent="0.6">
      <c r="A91" s="210" t="s">
        <v>43</v>
      </c>
      <c r="B91" s="225"/>
      <c r="C91" s="202"/>
      <c r="D91" s="203"/>
      <c r="E91" s="202"/>
      <c r="F91" s="202"/>
      <c r="G91" s="202"/>
      <c r="H91" s="202"/>
      <c r="I91" s="217" t="s">
        <v>43</v>
      </c>
      <c r="J91" s="225"/>
      <c r="K91" s="338"/>
      <c r="L91" s="202"/>
      <c r="M91" s="202"/>
      <c r="N91" s="203"/>
      <c r="O91" s="202"/>
      <c r="P91" s="202"/>
      <c r="Q91" s="202"/>
      <c r="R91" s="202"/>
      <c r="S91" s="202"/>
      <c r="T91" s="202"/>
      <c r="U91" s="202"/>
      <c r="V91" s="289"/>
      <c r="Y91" s="23"/>
      <c r="Z91" s="23"/>
      <c r="AA91" s="24"/>
      <c r="AB91" s="24"/>
      <c r="AC91" s="24"/>
      <c r="AD91" s="24"/>
      <c r="AE91" s="24"/>
      <c r="AF91" s="24"/>
      <c r="AG91" s="24"/>
      <c r="AH91" s="24"/>
      <c r="AI91" s="24"/>
      <c r="AJ91" s="24"/>
      <c r="AK91" s="24"/>
      <c r="AL91" s="24"/>
      <c r="AM91" s="25"/>
      <c r="AN91" s="25"/>
      <c r="AP91" s="25"/>
      <c r="AQ91" s="24"/>
      <c r="AR91" s="24"/>
      <c r="AS91" s="24"/>
      <c r="AT91" s="24"/>
      <c r="AU91" s="24"/>
      <c r="AV91" s="24"/>
      <c r="AW91" s="24"/>
      <c r="AX91" s="24"/>
      <c r="AY91" s="24"/>
      <c r="AZ91" s="24"/>
      <c r="BA91" s="24"/>
      <c r="BB91" s="24"/>
      <c r="BC91" s="24"/>
      <c r="BD91" s="24"/>
      <c r="BE91" s="24"/>
      <c r="BF91" s="24"/>
      <c r="BH91" s="26"/>
      <c r="BJ91" s="24"/>
      <c r="BK91" s="24"/>
      <c r="BL91" s="24"/>
      <c r="BM91" s="24"/>
      <c r="BN91" s="24"/>
      <c r="BO91" s="24"/>
      <c r="BP91" s="24"/>
      <c r="BQ91" s="24"/>
      <c r="BR91" s="24"/>
      <c r="BS91" s="24"/>
      <c r="BT91" s="24"/>
      <c r="BU91" s="24"/>
      <c r="BV91" s="24"/>
      <c r="BW91" s="24"/>
      <c r="BX91" s="24"/>
      <c r="BY91" s="24"/>
      <c r="BZ91" s="24"/>
      <c r="CA91" s="24"/>
      <c r="CB91" s="22"/>
      <c r="CC91" s="24"/>
      <c r="CD91" s="24"/>
      <c r="CE91" s="24"/>
      <c r="CF91" s="24"/>
      <c r="CG91" s="24"/>
      <c r="CH91" s="22"/>
      <c r="CI91" s="24"/>
      <c r="CJ91" s="24"/>
      <c r="CK91" s="22"/>
      <c r="CL91" s="22"/>
      <c r="CM91" s="22"/>
      <c r="CN91" s="22"/>
      <c r="CO91" s="22"/>
    </row>
    <row r="92" spans="1:93" ht="15.75" customHeight="1" x14ac:dyDescent="0.55000000000000004">
      <c r="J92" s="35"/>
      <c r="O92" s="22"/>
      <c r="P92" s="22"/>
      <c r="R92" s="35"/>
      <c r="S92" s="35"/>
      <c r="T92" s="35"/>
    </row>
    <row r="93" spans="1:93" ht="15.75" customHeight="1" x14ac:dyDescent="0.55000000000000004">
      <c r="A93" s="207"/>
      <c r="B93" s="223" t="s">
        <v>220</v>
      </c>
      <c r="C93" s="422"/>
      <c r="I93" s="214"/>
      <c r="J93" s="223" t="s">
        <v>220</v>
      </c>
      <c r="O93" s="22"/>
      <c r="P93" s="22"/>
      <c r="V93" s="289"/>
      <c r="Y93" s="23"/>
      <c r="Z93" s="23"/>
      <c r="AA93" s="24"/>
      <c r="AB93" s="24"/>
      <c r="AC93" s="24"/>
      <c r="AD93" s="24"/>
      <c r="AE93" s="24"/>
      <c r="AF93" s="24"/>
      <c r="AG93" s="24"/>
      <c r="AH93" s="24"/>
      <c r="AI93" s="24"/>
      <c r="AJ93" s="24"/>
      <c r="AK93" s="24"/>
      <c r="AL93" s="24"/>
      <c r="AM93" s="25"/>
      <c r="AN93" s="25"/>
      <c r="AP93" s="25"/>
      <c r="AQ93" s="24"/>
      <c r="AR93" s="24"/>
      <c r="AS93" s="24"/>
      <c r="AT93" s="24"/>
      <c r="AU93" s="24"/>
      <c r="AV93" s="24"/>
      <c r="AW93" s="24"/>
      <c r="AX93" s="24"/>
      <c r="AY93" s="24"/>
      <c r="AZ93" s="24"/>
      <c r="BA93" s="24"/>
      <c r="BB93" s="24"/>
      <c r="BC93" s="24"/>
      <c r="BD93" s="24"/>
      <c r="BE93" s="24"/>
      <c r="BF93" s="24"/>
      <c r="BH93" s="26"/>
      <c r="BJ93" s="24"/>
      <c r="BK93" s="24"/>
      <c r="BL93" s="24"/>
      <c r="BM93" s="24"/>
      <c r="BN93" s="24"/>
      <c r="BO93" s="24"/>
      <c r="BP93" s="24"/>
      <c r="BQ93" s="24"/>
      <c r="BR93" s="24"/>
      <c r="BS93" s="24"/>
      <c r="BT93" s="24"/>
      <c r="BU93" s="24"/>
      <c r="BV93" s="24"/>
      <c r="BW93" s="24"/>
      <c r="BX93" s="24"/>
      <c r="BY93" s="24"/>
      <c r="BZ93" s="24"/>
      <c r="CA93" s="24"/>
      <c r="CB93" s="22"/>
      <c r="CC93" s="24"/>
      <c r="CD93" s="24"/>
      <c r="CE93" s="24"/>
      <c r="CF93" s="24"/>
      <c r="CG93" s="24"/>
      <c r="CH93" s="22"/>
      <c r="CI93" s="24"/>
      <c r="CJ93" s="24"/>
      <c r="CK93" s="22"/>
      <c r="CL93" s="22"/>
      <c r="CM93" s="22"/>
      <c r="CN93" s="22"/>
      <c r="CO93" s="22"/>
    </row>
    <row r="94" spans="1:93" ht="15.75" customHeight="1" x14ac:dyDescent="0.45">
      <c r="C94" s="21" t="s">
        <v>221</v>
      </c>
      <c r="D94" s="191" t="s">
        <v>21</v>
      </c>
      <c r="F94" s="433"/>
      <c r="H94" s="120" t="s">
        <v>180</v>
      </c>
      <c r="K94" s="119" t="s">
        <v>222</v>
      </c>
      <c r="N94" s="191" t="s">
        <v>21</v>
      </c>
      <c r="O94" s="122"/>
      <c r="P94" s="433"/>
    </row>
    <row r="95" spans="1:93" ht="15.75" customHeight="1" x14ac:dyDescent="0.45">
      <c r="C95" s="21" t="s">
        <v>395</v>
      </c>
      <c r="D95" s="191" t="s">
        <v>25</v>
      </c>
      <c r="F95" s="414"/>
      <c r="H95" s="21" t="s">
        <v>223</v>
      </c>
      <c r="K95" s="119" t="s">
        <v>224</v>
      </c>
      <c r="N95" s="191" t="s">
        <v>21</v>
      </c>
      <c r="O95" s="122"/>
      <c r="P95" s="496"/>
    </row>
    <row r="96" spans="1:93" ht="15.75" customHeight="1" x14ac:dyDescent="0.45">
      <c r="C96" s="21" t="s">
        <v>225</v>
      </c>
      <c r="K96" s="275" t="s">
        <v>226</v>
      </c>
      <c r="L96" s="241"/>
      <c r="M96" s="241"/>
      <c r="N96" s="242" t="s">
        <v>21</v>
      </c>
      <c r="O96" s="241"/>
      <c r="P96" s="497"/>
    </row>
    <row r="97" spans="1:93" ht="15.75" customHeight="1" x14ac:dyDescent="0.45">
      <c r="C97" s="21" t="s">
        <v>226</v>
      </c>
      <c r="D97" s="191" t="s">
        <v>21</v>
      </c>
      <c r="F97" s="414"/>
      <c r="H97" s="21" t="s">
        <v>227</v>
      </c>
      <c r="P97" s="92"/>
    </row>
    <row r="98" spans="1:93" ht="15.75" customHeight="1" x14ac:dyDescent="0.45">
      <c r="D98" s="21"/>
      <c r="K98" s="119" t="s">
        <v>225</v>
      </c>
      <c r="N98" s="191" t="s">
        <v>21</v>
      </c>
      <c r="P98" s="433"/>
    </row>
    <row r="99" spans="1:93" ht="15.75" customHeight="1" x14ac:dyDescent="0.55000000000000004">
      <c r="O99" s="122"/>
      <c r="W99" s="138"/>
    </row>
    <row r="100" spans="1:93" ht="15.75" customHeight="1" x14ac:dyDescent="0.55000000000000004">
      <c r="A100" s="207"/>
      <c r="B100" s="223" t="s">
        <v>228</v>
      </c>
      <c r="C100" s="423"/>
      <c r="I100" s="214"/>
      <c r="J100" s="223" t="s">
        <v>228</v>
      </c>
      <c r="P100" s="92"/>
      <c r="V100" s="289"/>
      <c r="Y100" s="23"/>
      <c r="Z100" s="23"/>
      <c r="AA100" s="24"/>
      <c r="AB100" s="24"/>
      <c r="AC100" s="24"/>
      <c r="AD100" s="24"/>
      <c r="AE100" s="24"/>
      <c r="AF100" s="24"/>
      <c r="AG100" s="24"/>
      <c r="AH100" s="24"/>
      <c r="AI100" s="24"/>
      <c r="AJ100" s="24"/>
      <c r="AK100" s="24"/>
      <c r="AL100" s="24"/>
      <c r="AM100" s="25"/>
      <c r="AN100" s="25"/>
      <c r="AP100" s="25"/>
      <c r="AQ100" s="24"/>
      <c r="AR100" s="24"/>
      <c r="AS100" s="24"/>
      <c r="AT100" s="24"/>
      <c r="AU100" s="24"/>
      <c r="AV100" s="24"/>
      <c r="AW100" s="24"/>
      <c r="AX100" s="24"/>
      <c r="AY100" s="24"/>
      <c r="AZ100" s="24"/>
      <c r="BA100" s="24"/>
      <c r="BB100" s="24"/>
      <c r="BC100" s="24"/>
      <c r="BD100" s="24"/>
      <c r="BE100" s="24"/>
      <c r="BF100" s="24"/>
      <c r="BH100" s="26"/>
      <c r="BJ100" s="24"/>
      <c r="BK100" s="24"/>
      <c r="BL100" s="24"/>
      <c r="BM100" s="24"/>
      <c r="BN100" s="24"/>
      <c r="BO100" s="24"/>
      <c r="BP100" s="24"/>
      <c r="BQ100" s="24"/>
      <c r="BR100" s="24"/>
      <c r="BS100" s="24"/>
      <c r="BT100" s="24"/>
      <c r="BU100" s="24"/>
      <c r="BV100" s="24"/>
      <c r="BW100" s="24"/>
      <c r="BX100" s="24"/>
      <c r="BY100" s="24"/>
      <c r="BZ100" s="24"/>
      <c r="CA100" s="24"/>
      <c r="CB100" s="22"/>
      <c r="CC100" s="24"/>
      <c r="CD100" s="24"/>
      <c r="CE100" s="24"/>
      <c r="CF100" s="24"/>
      <c r="CG100" s="24"/>
      <c r="CH100" s="22"/>
      <c r="CI100" s="24"/>
      <c r="CJ100" s="24"/>
      <c r="CK100" s="22"/>
      <c r="CL100" s="22"/>
      <c r="CM100" s="22"/>
      <c r="CN100" s="22"/>
      <c r="CO100" s="22"/>
    </row>
    <row r="101" spans="1:93" ht="15.75" customHeight="1" x14ac:dyDescent="0.55000000000000004">
      <c r="C101" s="21" t="s">
        <v>229</v>
      </c>
      <c r="K101" s="119" t="s">
        <v>229</v>
      </c>
      <c r="N101" s="191" t="s">
        <v>21</v>
      </c>
      <c r="O101" s="122"/>
      <c r="P101" s="92"/>
    </row>
    <row r="102" spans="1:93" ht="15.75" customHeight="1" x14ac:dyDescent="0.45">
      <c r="C102" s="21" t="s">
        <v>230</v>
      </c>
      <c r="D102" s="191" t="s">
        <v>21</v>
      </c>
      <c r="F102" s="414"/>
      <c r="H102" s="120" t="s">
        <v>180</v>
      </c>
      <c r="K102" s="119" t="s">
        <v>231</v>
      </c>
      <c r="N102" s="191" t="s">
        <v>21</v>
      </c>
      <c r="O102" s="122"/>
      <c r="P102" s="433"/>
    </row>
    <row r="103" spans="1:93" ht="15.75" customHeight="1" x14ac:dyDescent="0.45">
      <c r="C103" s="21" t="s">
        <v>224</v>
      </c>
      <c r="D103" s="191" t="s">
        <v>25</v>
      </c>
      <c r="F103" s="414"/>
      <c r="H103" s="21" t="s">
        <v>232</v>
      </c>
      <c r="K103" s="119" t="s">
        <v>233</v>
      </c>
      <c r="N103" s="191" t="s">
        <v>21</v>
      </c>
      <c r="O103" s="122"/>
      <c r="P103" s="433"/>
    </row>
    <row r="104" spans="1:93" ht="15.75" customHeight="1" x14ac:dyDescent="0.45">
      <c r="C104" s="21" t="s">
        <v>234</v>
      </c>
      <c r="O104" s="122"/>
      <c r="P104" s="433"/>
    </row>
    <row r="105" spans="1:93" ht="15.75" customHeight="1" x14ac:dyDescent="0.45">
      <c r="C105" s="21" t="s">
        <v>230</v>
      </c>
      <c r="D105" s="191" t="s">
        <v>21</v>
      </c>
      <c r="F105" s="414"/>
      <c r="H105" s="120" t="s">
        <v>180</v>
      </c>
      <c r="K105" s="119" t="s">
        <v>235</v>
      </c>
      <c r="N105" s="191" t="s">
        <v>21</v>
      </c>
      <c r="O105" s="122"/>
    </row>
    <row r="106" spans="1:93" ht="15.75" customHeight="1" x14ac:dyDescent="0.45">
      <c r="C106" s="21" t="s">
        <v>224</v>
      </c>
      <c r="D106" s="191" t="s">
        <v>25</v>
      </c>
      <c r="F106" s="414"/>
      <c r="H106" s="21" t="s">
        <v>232</v>
      </c>
      <c r="K106" s="119" t="s">
        <v>251</v>
      </c>
      <c r="N106" s="191" t="s">
        <v>21</v>
      </c>
      <c r="O106" s="122"/>
      <c r="P106" s="433"/>
    </row>
    <row r="107" spans="1:93" ht="15.75" customHeight="1" x14ac:dyDescent="0.45">
      <c r="C107" s="21" t="s">
        <v>233</v>
      </c>
      <c r="K107" s="119" t="s">
        <v>237</v>
      </c>
      <c r="N107" s="191" t="s">
        <v>21</v>
      </c>
      <c r="O107" s="122"/>
      <c r="P107" s="433"/>
    </row>
    <row r="108" spans="1:93" x14ac:dyDescent="0.45">
      <c r="C108" s="21" t="s">
        <v>230</v>
      </c>
      <c r="D108" s="191" t="s">
        <v>21</v>
      </c>
      <c r="F108" s="414"/>
      <c r="H108" s="120" t="s">
        <v>180</v>
      </c>
      <c r="P108" s="433"/>
    </row>
    <row r="109" spans="1:93" x14ac:dyDescent="0.45">
      <c r="C109" s="21" t="s">
        <v>224</v>
      </c>
      <c r="D109" s="191" t="s">
        <v>25</v>
      </c>
      <c r="F109" s="414"/>
      <c r="H109" s="21" t="s">
        <v>232</v>
      </c>
    </row>
    <row r="110" spans="1:93" x14ac:dyDescent="0.55000000000000004"/>
    <row r="111" spans="1:93" ht="15.75" customHeight="1" x14ac:dyDescent="0.55000000000000004">
      <c r="A111" s="207"/>
      <c r="B111" s="223" t="s">
        <v>238</v>
      </c>
      <c r="C111" s="423"/>
      <c r="I111" s="214"/>
      <c r="J111" s="223" t="s">
        <v>238</v>
      </c>
      <c r="P111" s="35" t="s">
        <v>239</v>
      </c>
      <c r="V111" s="289"/>
      <c r="Y111" s="23"/>
      <c r="Z111" s="23"/>
      <c r="AA111" s="24"/>
      <c r="AB111" s="24"/>
      <c r="AC111" s="24"/>
      <c r="AD111" s="24"/>
      <c r="AE111" s="24"/>
      <c r="AF111" s="24"/>
      <c r="AG111" s="24"/>
      <c r="AH111" s="24"/>
      <c r="AI111" s="24"/>
      <c r="AJ111" s="24"/>
      <c r="AK111" s="24"/>
      <c r="AL111" s="24"/>
      <c r="AM111" s="25"/>
      <c r="AN111" s="25"/>
      <c r="AP111" s="25"/>
      <c r="AQ111" s="24"/>
      <c r="AR111" s="24"/>
      <c r="AS111" s="24"/>
      <c r="AT111" s="24"/>
      <c r="AU111" s="24"/>
      <c r="AV111" s="24"/>
      <c r="AW111" s="24"/>
      <c r="AX111" s="24"/>
      <c r="AY111" s="24"/>
      <c r="AZ111" s="24"/>
      <c r="BA111" s="24"/>
      <c r="BB111" s="24"/>
      <c r="BC111" s="24"/>
      <c r="BD111" s="24"/>
      <c r="BE111" s="24"/>
      <c r="BF111" s="24"/>
      <c r="BH111" s="26"/>
      <c r="BJ111" s="24"/>
      <c r="BK111" s="24"/>
      <c r="BL111" s="24"/>
      <c r="BM111" s="24"/>
      <c r="BN111" s="24"/>
      <c r="BO111" s="24"/>
      <c r="BP111" s="24"/>
      <c r="BQ111" s="24"/>
      <c r="BR111" s="24"/>
      <c r="BS111" s="24"/>
      <c r="BT111" s="24"/>
      <c r="BU111" s="24"/>
      <c r="BV111" s="24"/>
      <c r="BW111" s="24"/>
      <c r="BX111" s="24"/>
      <c r="BY111" s="24"/>
      <c r="BZ111" s="24"/>
      <c r="CA111" s="24"/>
      <c r="CB111" s="22"/>
      <c r="CC111" s="24"/>
      <c r="CD111" s="24"/>
      <c r="CE111" s="24"/>
      <c r="CF111" s="24"/>
      <c r="CG111" s="24"/>
      <c r="CH111" s="22"/>
      <c r="CI111" s="24"/>
      <c r="CJ111" s="24"/>
      <c r="CK111" s="22"/>
      <c r="CL111" s="22"/>
      <c r="CM111" s="22"/>
      <c r="CN111" s="22"/>
      <c r="CO111" s="22"/>
    </row>
    <row r="112" spans="1:93" x14ac:dyDescent="0.45">
      <c r="C112" s="21" t="s">
        <v>239</v>
      </c>
      <c r="K112" s="119" t="s">
        <v>230</v>
      </c>
      <c r="N112" s="191" t="s">
        <v>21</v>
      </c>
      <c r="P112" s="433"/>
    </row>
    <row r="113" spans="3:16" x14ac:dyDescent="0.45">
      <c r="C113" s="21" t="s">
        <v>230</v>
      </c>
      <c r="D113" s="191" t="s">
        <v>21</v>
      </c>
      <c r="F113" s="433"/>
      <c r="H113" s="120" t="s">
        <v>180</v>
      </c>
      <c r="K113" s="119" t="s">
        <v>224</v>
      </c>
      <c r="N113" s="191" t="s">
        <v>25</v>
      </c>
      <c r="P113" s="433"/>
    </row>
    <row r="114" spans="3:16" x14ac:dyDescent="0.45">
      <c r="C114" s="21" t="s">
        <v>396</v>
      </c>
      <c r="D114" s="191" t="s">
        <v>25</v>
      </c>
      <c r="F114" s="433"/>
      <c r="H114" s="21" t="s">
        <v>240</v>
      </c>
      <c r="K114" s="275" t="s">
        <v>226</v>
      </c>
      <c r="L114" s="241"/>
      <c r="M114" s="241"/>
      <c r="N114" s="242" t="s">
        <v>21</v>
      </c>
      <c r="O114" s="417"/>
      <c r="P114" s="433"/>
    </row>
    <row r="115" spans="3:16" x14ac:dyDescent="0.55000000000000004">
      <c r="C115" s="21" t="s">
        <v>241</v>
      </c>
    </row>
    <row r="116" spans="3:16" x14ac:dyDescent="0.45">
      <c r="C116" s="21" t="s">
        <v>242</v>
      </c>
      <c r="D116" s="191" t="s">
        <v>21</v>
      </c>
      <c r="F116" s="433"/>
      <c r="H116" s="120" t="s">
        <v>180</v>
      </c>
      <c r="O116" s="393"/>
      <c r="P116" s="35" t="s">
        <v>243</v>
      </c>
    </row>
    <row r="117" spans="3:16" x14ac:dyDescent="0.45">
      <c r="C117" s="21" t="s">
        <v>397</v>
      </c>
      <c r="D117" s="191" t="s">
        <v>25</v>
      </c>
      <c r="F117" s="433"/>
      <c r="H117" s="21" t="s">
        <v>240</v>
      </c>
      <c r="K117" s="119" t="s">
        <v>230</v>
      </c>
      <c r="N117" s="191" t="s">
        <v>21</v>
      </c>
      <c r="O117" s="393"/>
      <c r="P117" s="433"/>
    </row>
    <row r="118" spans="3:16" x14ac:dyDescent="0.45">
      <c r="C118" s="21" t="s">
        <v>244</v>
      </c>
      <c r="K118" s="119" t="s">
        <v>224</v>
      </c>
      <c r="N118" s="191" t="s">
        <v>25</v>
      </c>
      <c r="O118" s="393"/>
      <c r="P118" s="433"/>
    </row>
    <row r="119" spans="3:16" x14ac:dyDescent="0.45">
      <c r="C119" s="21" t="s">
        <v>242</v>
      </c>
      <c r="D119" s="191" t="s">
        <v>21</v>
      </c>
      <c r="F119" s="433"/>
      <c r="H119" s="120" t="s">
        <v>180</v>
      </c>
      <c r="K119" s="275" t="s">
        <v>226</v>
      </c>
      <c r="L119" s="241"/>
      <c r="M119" s="241"/>
      <c r="N119" s="242" t="s">
        <v>21</v>
      </c>
      <c r="O119" s="417"/>
      <c r="P119" s="433"/>
    </row>
    <row r="120" spans="3:16" x14ac:dyDescent="0.45">
      <c r="C120" s="21" t="s">
        <v>397</v>
      </c>
      <c r="D120" s="191" t="s">
        <v>25</v>
      </c>
      <c r="F120" s="433"/>
      <c r="H120" s="21" t="s">
        <v>245</v>
      </c>
    </row>
    <row r="121" spans="3:16" x14ac:dyDescent="0.55000000000000004">
      <c r="O121" s="393"/>
      <c r="P121" s="35" t="s">
        <v>246</v>
      </c>
    </row>
    <row r="122" spans="3:16" x14ac:dyDescent="0.45">
      <c r="C122" s="21" t="s">
        <v>247</v>
      </c>
      <c r="D122" s="191" t="s">
        <v>21</v>
      </c>
      <c r="F122" s="433"/>
      <c r="H122" s="120" t="s">
        <v>180</v>
      </c>
      <c r="K122" s="119" t="s">
        <v>230</v>
      </c>
      <c r="N122" s="191" t="s">
        <v>21</v>
      </c>
      <c r="O122" s="393"/>
      <c r="P122" s="433"/>
    </row>
    <row r="123" spans="3:16" x14ac:dyDescent="0.45">
      <c r="C123" s="21" t="s">
        <v>248</v>
      </c>
      <c r="D123" s="191" t="s">
        <v>21</v>
      </c>
      <c r="F123" s="433"/>
      <c r="H123" s="120" t="s">
        <v>180</v>
      </c>
      <c r="K123" s="119" t="s">
        <v>224</v>
      </c>
      <c r="N123" s="191" t="s">
        <v>25</v>
      </c>
      <c r="O123" s="393"/>
      <c r="P123" s="433"/>
    </row>
    <row r="124" spans="3:16" x14ac:dyDescent="0.45">
      <c r="K124" s="275" t="s">
        <v>226</v>
      </c>
      <c r="L124" s="241"/>
      <c r="M124" s="241"/>
      <c r="N124" s="242" t="s">
        <v>21</v>
      </c>
      <c r="O124" s="417"/>
      <c r="P124" s="433"/>
    </row>
    <row r="125" spans="3:16" x14ac:dyDescent="0.55000000000000004"/>
    <row r="126" spans="3:16" x14ac:dyDescent="0.45">
      <c r="K126" s="119" t="s">
        <v>249</v>
      </c>
      <c r="N126" s="191" t="s">
        <v>21</v>
      </c>
      <c r="P126" s="433"/>
    </row>
    <row r="127" spans="3:16" x14ac:dyDescent="0.45">
      <c r="K127" s="119" t="s">
        <v>250</v>
      </c>
      <c r="N127" s="191" t="s">
        <v>21</v>
      </c>
      <c r="P127" s="433"/>
    </row>
    <row r="128" spans="3:16" x14ac:dyDescent="0.55000000000000004"/>
    <row r="129" spans="1:104" x14ac:dyDescent="0.45">
      <c r="K129" s="119" t="s">
        <v>251</v>
      </c>
      <c r="N129" s="191" t="s">
        <v>21</v>
      </c>
      <c r="P129" s="433"/>
    </row>
    <row r="130" spans="1:104" x14ac:dyDescent="0.45">
      <c r="K130" s="21" t="s">
        <v>252</v>
      </c>
      <c r="P130" s="433"/>
    </row>
    <row r="131" spans="1:104" x14ac:dyDescent="0.45">
      <c r="K131" s="119" t="s">
        <v>237</v>
      </c>
      <c r="N131" s="191" t="s">
        <v>21</v>
      </c>
      <c r="P131" s="433"/>
    </row>
    <row r="132" spans="1:104" x14ac:dyDescent="0.55000000000000004"/>
    <row r="133" spans="1:104" ht="15.75" customHeight="1" thickBot="1" x14ac:dyDescent="0.6">
      <c r="A133" s="210" t="s">
        <v>45</v>
      </c>
      <c r="B133" s="225"/>
      <c r="C133" s="202"/>
      <c r="D133" s="203"/>
      <c r="E133" s="202"/>
      <c r="F133" s="202"/>
      <c r="G133" s="202"/>
      <c r="H133" s="202"/>
      <c r="I133" s="217" t="s">
        <v>253</v>
      </c>
      <c r="J133" s="225"/>
      <c r="K133" s="338"/>
      <c r="L133" s="202"/>
      <c r="M133" s="202"/>
      <c r="N133" s="203"/>
      <c r="O133" s="202"/>
      <c r="P133" s="202"/>
      <c r="Q133" s="202"/>
      <c r="R133" s="202"/>
      <c r="S133" s="202"/>
      <c r="T133" s="202"/>
      <c r="U133" s="202"/>
      <c r="V133" s="289"/>
      <c r="Y133" s="23"/>
      <c r="Z133" s="23"/>
      <c r="AA133" s="24"/>
      <c r="AB133" s="24"/>
      <c r="AC133" s="24"/>
      <c r="AD133" s="24"/>
      <c r="AE133" s="24"/>
      <c r="AF133" s="24"/>
      <c r="AG133" s="24"/>
      <c r="AH133" s="24"/>
      <c r="AI133" s="24"/>
      <c r="AJ133" s="24"/>
      <c r="AK133" s="24"/>
      <c r="AL133" s="24"/>
      <c r="AM133" s="24"/>
      <c r="AN133" s="24"/>
      <c r="AO133" s="24"/>
      <c r="AP133" s="24"/>
      <c r="AQ133" s="24"/>
      <c r="AR133" s="24"/>
      <c r="AS133" s="24"/>
      <c r="AT133" s="25"/>
      <c r="AU133" s="25"/>
      <c r="AV133" s="26"/>
      <c r="AW133" s="25"/>
      <c r="AX133" s="24"/>
      <c r="AY133" s="24"/>
      <c r="AZ133" s="24"/>
      <c r="BA133" s="24"/>
      <c r="BB133" s="24"/>
      <c r="BC133" s="24"/>
      <c r="BD133" s="24"/>
      <c r="BE133" s="24"/>
      <c r="BF133" s="24"/>
      <c r="BG133" s="24"/>
      <c r="BH133" s="24"/>
      <c r="BI133" s="24"/>
      <c r="BJ133" s="24"/>
      <c r="BK133" s="24"/>
      <c r="BL133" s="24"/>
      <c r="BM133" s="24"/>
      <c r="BN133" s="24"/>
      <c r="BO133" s="24"/>
      <c r="BP133" s="24"/>
      <c r="BQ133" s="24"/>
      <c r="BR133" s="24"/>
      <c r="BT133" s="26"/>
      <c r="BV133" s="24"/>
      <c r="BW133" s="24"/>
      <c r="BX133" s="24"/>
      <c r="BY133" s="24"/>
      <c r="BZ133" s="24"/>
      <c r="CA133" s="24"/>
      <c r="CB133" s="24"/>
      <c r="CC133" s="24"/>
      <c r="CD133" s="24"/>
      <c r="CE133" s="24"/>
      <c r="CF133" s="24"/>
      <c r="CG133" s="24"/>
      <c r="CH133" s="24"/>
      <c r="CI133" s="24"/>
      <c r="CJ133" s="24"/>
      <c r="CK133" s="24"/>
      <c r="CL133" s="22"/>
      <c r="CM133" s="24"/>
      <c r="CN133" s="24"/>
      <c r="CO133" s="24"/>
      <c r="CP133" s="24"/>
      <c r="CQ133" s="24"/>
      <c r="CR133" s="22"/>
      <c r="CS133" s="24"/>
      <c r="CT133" s="24"/>
      <c r="CV133" s="22"/>
      <c r="CW133" s="22"/>
      <c r="CX133" s="22"/>
      <c r="CY133" s="22"/>
      <c r="CZ133" s="22"/>
    </row>
    <row r="134" spans="1:104" x14ac:dyDescent="0.55000000000000004"/>
    <row r="135" spans="1:104" ht="21" x14ac:dyDescent="0.55000000000000004">
      <c r="B135" s="223" t="s">
        <v>254</v>
      </c>
      <c r="C135" s="422"/>
      <c r="D135" s="198"/>
      <c r="E135" s="26"/>
      <c r="I135" s="214"/>
      <c r="J135" s="223" t="s">
        <v>254</v>
      </c>
      <c r="O135" s="21" t="s">
        <v>55</v>
      </c>
      <c r="P135" s="21" t="s">
        <v>98</v>
      </c>
    </row>
    <row r="136" spans="1:104" x14ac:dyDescent="0.45">
      <c r="C136" s="21" t="s">
        <v>181</v>
      </c>
      <c r="D136" s="191" t="s">
        <v>21</v>
      </c>
      <c r="F136" s="413"/>
      <c r="H136" s="120" t="s">
        <v>180</v>
      </c>
      <c r="K136" s="119" t="s">
        <v>255</v>
      </c>
      <c r="N136" s="191" t="s">
        <v>21</v>
      </c>
      <c r="O136" s="173">
        <f>F136</f>
        <v>0</v>
      </c>
      <c r="P136" s="169"/>
    </row>
    <row r="137" spans="1:104" x14ac:dyDescent="0.45">
      <c r="C137" s="21" t="s">
        <v>256</v>
      </c>
      <c r="D137" s="191" t="s">
        <v>21</v>
      </c>
      <c r="F137" s="413"/>
      <c r="H137" s="120" t="s">
        <v>180</v>
      </c>
      <c r="K137" s="119" t="s">
        <v>257</v>
      </c>
      <c r="N137" s="191" t="s">
        <v>21</v>
      </c>
      <c r="O137" s="176">
        <f>F137*O17</f>
        <v>0</v>
      </c>
      <c r="P137" s="169"/>
    </row>
    <row r="138" spans="1:104" x14ac:dyDescent="0.45">
      <c r="C138" s="21" t="s">
        <v>258</v>
      </c>
      <c r="D138" s="191" t="s">
        <v>21</v>
      </c>
      <c r="F138" s="413"/>
      <c r="H138" s="120" t="s">
        <v>180</v>
      </c>
      <c r="K138" s="119" t="s">
        <v>259</v>
      </c>
      <c r="N138" s="191" t="s">
        <v>21</v>
      </c>
      <c r="O138" s="173">
        <f>F138</f>
        <v>0</v>
      </c>
      <c r="P138" s="169"/>
    </row>
    <row r="139" spans="1:104" x14ac:dyDescent="0.45">
      <c r="K139" s="119" t="s">
        <v>260</v>
      </c>
      <c r="M139" s="21" t="s">
        <v>261</v>
      </c>
      <c r="N139" s="191" t="s">
        <v>25</v>
      </c>
      <c r="O139" s="140">
        <f>F83</f>
        <v>1.95E-2</v>
      </c>
      <c r="P139" s="169"/>
    </row>
    <row r="140" spans="1:104" x14ac:dyDescent="0.45">
      <c r="M140" s="21" t="s">
        <v>262</v>
      </c>
      <c r="N140" s="191" t="s">
        <v>25</v>
      </c>
      <c r="O140" s="381">
        <f>P86</f>
        <v>0</v>
      </c>
      <c r="P140" s="169"/>
    </row>
    <row r="141" spans="1:104" x14ac:dyDescent="0.45">
      <c r="M141" s="21" t="s">
        <v>263</v>
      </c>
      <c r="N141" s="191" t="s">
        <v>25</v>
      </c>
      <c r="O141" s="140">
        <f>O140-O139</f>
        <v>-1.95E-2</v>
      </c>
      <c r="P141" s="169"/>
    </row>
    <row r="142" spans="1:104" x14ac:dyDescent="0.45">
      <c r="M142" s="141" t="s">
        <v>264</v>
      </c>
      <c r="N142" s="191" t="s">
        <v>21</v>
      </c>
      <c r="O142" s="176">
        <f>SUM(AK18:AK49)</f>
        <v>0</v>
      </c>
      <c r="P142" s="169"/>
    </row>
    <row r="143" spans="1:104" x14ac:dyDescent="0.55000000000000004"/>
    <row r="144" spans="1:104" x14ac:dyDescent="0.55000000000000004"/>
    <row r="145" spans="2:16" x14ac:dyDescent="0.55000000000000004"/>
    <row r="146" spans="2:16" s="142" customFormat="1" ht="15" customHeight="1" thickBot="1" x14ac:dyDescent="0.6">
      <c r="B146" s="142" t="s">
        <v>265</v>
      </c>
      <c r="C146" s="424"/>
      <c r="D146" s="190"/>
      <c r="E146" s="167"/>
      <c r="F146" s="167"/>
      <c r="I146" s="333"/>
      <c r="N146" s="190"/>
      <c r="O146" s="167"/>
      <c r="P146" s="167"/>
    </row>
    <row r="147" spans="2:16" ht="17" thickTop="1" x14ac:dyDescent="0.55000000000000004"/>
    <row r="148" spans="2:16" x14ac:dyDescent="0.55000000000000004"/>
    <row r="149" spans="2:16" x14ac:dyDescent="0.55000000000000004"/>
    <row r="150" spans="2:16" x14ac:dyDescent="0.55000000000000004"/>
    <row r="151" spans="2:16" x14ac:dyDescent="0.55000000000000004"/>
    <row r="152" spans="2:16" x14ac:dyDescent="0.55000000000000004"/>
    <row r="153" spans="2:16" x14ac:dyDescent="0.55000000000000004"/>
    <row r="154" spans="2:16" x14ac:dyDescent="0.55000000000000004"/>
    <row r="155" spans="2:16" x14ac:dyDescent="0.55000000000000004"/>
    <row r="156" spans="2:16" x14ac:dyDescent="0.55000000000000004"/>
    <row r="157" spans="2:16" x14ac:dyDescent="0.55000000000000004"/>
    <row r="158" spans="2:16" x14ac:dyDescent="0.55000000000000004"/>
    <row r="159" spans="2:16" x14ac:dyDescent="0.55000000000000004"/>
    <row r="160" spans="2:16" x14ac:dyDescent="0.55000000000000004"/>
    <row r="161" x14ac:dyDescent="0.55000000000000004"/>
    <row r="162" x14ac:dyDescent="0.55000000000000004"/>
    <row r="163" x14ac:dyDescent="0.55000000000000004"/>
    <row r="164" x14ac:dyDescent="0.55000000000000004"/>
    <row r="165" x14ac:dyDescent="0.55000000000000004"/>
    <row r="166" x14ac:dyDescent="0.55000000000000004"/>
    <row r="167" x14ac:dyDescent="0.55000000000000004"/>
    <row r="168" x14ac:dyDescent="0.55000000000000004"/>
    <row r="169" x14ac:dyDescent="0.55000000000000004"/>
    <row r="170" x14ac:dyDescent="0.55000000000000004"/>
    <row r="171" x14ac:dyDescent="0.55000000000000004"/>
    <row r="172" x14ac:dyDescent="0.55000000000000004"/>
    <row r="173" x14ac:dyDescent="0.55000000000000004"/>
    <row r="174" x14ac:dyDescent="0.55000000000000004"/>
    <row r="175" x14ac:dyDescent="0.55000000000000004"/>
    <row r="176" x14ac:dyDescent="0.55000000000000004"/>
    <row r="177" x14ac:dyDescent="0.55000000000000004"/>
    <row r="178" x14ac:dyDescent="0.55000000000000004"/>
    <row r="179" x14ac:dyDescent="0.55000000000000004"/>
    <row r="180" x14ac:dyDescent="0.55000000000000004"/>
  </sheetData>
  <phoneticPr fontId="2"/>
  <dataValidations count="1">
    <dataValidation type="list" allowBlank="1" showInputMessage="1" showErrorMessage="1" sqref="F14" xr:uid="{11F0802B-1D3C-4C13-86EC-B57369B54A47}">
      <formula1>$O$14:$Q$14</formula1>
    </dataValidation>
  </dataValidations>
  <pageMargins left="0.23622047244094491" right="0.23622047244094491" top="0.74803149606299213" bottom="0.74803149606299213" header="0.31496062992125984" footer="0.31496062992125984"/>
  <pageSetup paperSize="8" scale="22" fitToHeight="0" orientation="landscape" r:id="rId1"/>
  <colBreaks count="2" manualBreakCount="2">
    <brk id="21" max="1048575" man="1"/>
    <brk id="5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3316B-6609-46E0-8802-761B9D3F8C4F}">
  <sheetPr>
    <tabColor rgb="FFFFC000"/>
    <pageSetUpPr fitToPage="1"/>
  </sheetPr>
  <dimension ref="A1:DA170"/>
  <sheetViews>
    <sheetView showGridLines="0" view="pageBreakPreview" zoomScaleNormal="40" zoomScaleSheetLayoutView="100" workbookViewId="0">
      <selection activeCell="F21" sqref="F21"/>
    </sheetView>
  </sheetViews>
  <sheetFormatPr defaultColWidth="0" defaultRowHeight="16.5" zeroHeight="1" outlineLevelCol="1" x14ac:dyDescent="0.55000000000000004"/>
  <cols>
    <col min="1" max="1" width="4.83203125" style="21" customWidth="1"/>
    <col min="2" max="2" width="4.25" style="21" customWidth="1"/>
    <col min="3" max="3" width="40.08203125" style="21" bestFit="1" customWidth="1"/>
    <col min="4" max="4" width="7.33203125" style="191" customWidth="1"/>
    <col min="5" max="6" width="14.08203125" style="21" customWidth="1"/>
    <col min="7" max="7" width="2.5" style="21" customWidth="1"/>
    <col min="8" max="8" width="43.75" style="21" customWidth="1"/>
    <col min="9" max="9" width="1.58203125" style="289" customWidth="1"/>
    <col min="10" max="10" width="4.25" style="21" customWidth="1" outlineLevel="1"/>
    <col min="11" max="11" width="12.5" style="119" customWidth="1" outlineLevel="1"/>
    <col min="12" max="12" width="1.83203125" style="21" customWidth="1" outlineLevel="1"/>
    <col min="13" max="13" width="30.83203125" style="21" customWidth="1" outlineLevel="1"/>
    <col min="14" max="14" width="11.25" style="191" customWidth="1" outlineLevel="1"/>
    <col min="15" max="16" width="14.08203125" style="21" customWidth="1" outlineLevel="1"/>
    <col min="17" max="17" width="4.75" style="21" customWidth="1" outlineLevel="1"/>
    <col min="18" max="18" width="10" style="21" customWidth="1" outlineLevel="1"/>
    <col min="19" max="19" width="19.25" style="21" customWidth="1" outlineLevel="1"/>
    <col min="20" max="20" width="7.5" style="21" customWidth="1" outlineLevel="1"/>
    <col min="21" max="21" width="24.5" style="21" customWidth="1" outlineLevel="1"/>
    <col min="22" max="22" width="12" style="21" customWidth="1"/>
    <col min="23" max="23" width="9.58203125" style="21" customWidth="1"/>
    <col min="24" max="24" width="21.5" style="21" customWidth="1"/>
    <col min="25" max="26" width="10.83203125" style="21" customWidth="1"/>
    <col min="27" max="36" width="10.83203125" style="22" customWidth="1"/>
    <col min="37" max="39" width="10.83203125" style="26" customWidth="1"/>
    <col min="40" max="40" width="1.58203125" style="26" customWidth="1"/>
    <col min="41" max="41" width="10.83203125" style="26" customWidth="1"/>
    <col min="42" max="56" width="10.83203125" style="22" customWidth="1"/>
    <col min="57" max="57" width="1.75" style="22" customWidth="1"/>
    <col min="58" max="58" width="10.83203125" style="26" customWidth="1"/>
    <col min="59" max="59" width="1.5" style="22" customWidth="1"/>
    <col min="60" max="74" width="10.83203125" style="22" customWidth="1"/>
    <col min="75" max="75" width="2.08203125" style="22" customWidth="1"/>
    <col min="76" max="76" width="3.33203125" style="22" hidden="1" customWidth="1"/>
    <col min="77" max="77" width="0" style="22" hidden="1" customWidth="1"/>
    <col min="78" max="89" width="0" style="21" hidden="1" customWidth="1"/>
    <col min="90" max="16384" width="9" style="21" hidden="1"/>
  </cols>
  <sheetData>
    <row r="1" spans="1:105" ht="15.75" customHeight="1" x14ac:dyDescent="0.55000000000000004"/>
    <row r="2" spans="1:105" ht="26" x14ac:dyDescent="0.55000000000000004">
      <c r="A2" s="207"/>
      <c r="B2" s="223"/>
      <c r="C2" s="310" t="s">
        <v>271</v>
      </c>
      <c r="I2" s="214"/>
      <c r="J2" s="223"/>
      <c r="T2" s="191"/>
      <c r="V2" s="289"/>
      <c r="W2" s="310" t="s">
        <v>272</v>
      </c>
      <c r="Y2" s="23"/>
      <c r="Z2" s="23"/>
      <c r="AA2" s="24"/>
      <c r="AB2" s="24"/>
      <c r="AC2" s="24"/>
      <c r="AD2" s="24"/>
      <c r="AE2" s="24"/>
      <c r="AF2" s="24"/>
      <c r="AG2" s="24"/>
      <c r="AH2" s="24"/>
      <c r="AI2" s="24"/>
      <c r="AJ2" s="24"/>
      <c r="AK2" s="24"/>
      <c r="AL2" s="24"/>
      <c r="AM2" s="25"/>
      <c r="AN2" s="25"/>
      <c r="AP2" s="25"/>
      <c r="AQ2" s="24"/>
      <c r="AR2" s="24"/>
      <c r="AS2" s="24"/>
      <c r="AT2" s="24"/>
      <c r="AU2" s="24"/>
      <c r="AV2" s="24"/>
      <c r="AW2" s="24"/>
      <c r="AX2" s="24"/>
      <c r="AY2" s="24"/>
      <c r="AZ2" s="24"/>
      <c r="BA2" s="24"/>
      <c r="BB2" s="24"/>
      <c r="BC2" s="24"/>
      <c r="BD2" s="24"/>
      <c r="BE2" s="24"/>
      <c r="BF2" s="24"/>
      <c r="BH2" s="26"/>
      <c r="BJ2" s="24"/>
      <c r="BK2" s="24"/>
      <c r="BL2" s="24"/>
      <c r="BM2" s="24"/>
      <c r="BN2" s="24"/>
      <c r="BO2" s="24"/>
      <c r="BP2" s="24"/>
      <c r="BQ2" s="24"/>
      <c r="BR2" s="24"/>
      <c r="BS2" s="24"/>
      <c r="BT2" s="24"/>
      <c r="BU2" s="24"/>
      <c r="BV2" s="24"/>
      <c r="BW2" s="24"/>
      <c r="BX2" s="24"/>
      <c r="BY2" s="24"/>
      <c r="BZ2" s="24"/>
      <c r="CA2" s="24"/>
      <c r="CB2" s="22"/>
      <c r="CC2" s="24"/>
      <c r="CD2" s="24"/>
      <c r="CE2" s="24"/>
      <c r="CF2" s="24"/>
      <c r="CG2" s="24"/>
      <c r="CH2" s="22"/>
      <c r="CI2" s="24"/>
      <c r="CJ2" s="24"/>
      <c r="CK2" s="22"/>
      <c r="CL2" s="22"/>
      <c r="CM2" s="22"/>
      <c r="CN2" s="22"/>
      <c r="CO2" s="22"/>
    </row>
    <row r="3" spans="1:105" ht="18" customHeight="1" x14ac:dyDescent="0.55000000000000004">
      <c r="A3" s="207"/>
      <c r="B3" s="223"/>
      <c r="C3" s="35" t="s">
        <v>78</v>
      </c>
      <c r="I3" s="214"/>
      <c r="J3" s="223"/>
      <c r="T3" s="191"/>
      <c r="V3" s="289"/>
      <c r="W3" s="310"/>
      <c r="Y3" s="23"/>
      <c r="Z3" s="23"/>
      <c r="AA3" s="24"/>
      <c r="AB3" s="24"/>
      <c r="AC3" s="24"/>
      <c r="AD3" s="24"/>
      <c r="AE3" s="24"/>
      <c r="AF3" s="24"/>
      <c r="AG3" s="24"/>
      <c r="AH3" s="24"/>
      <c r="AI3" s="24"/>
      <c r="AJ3" s="24"/>
      <c r="AK3" s="24"/>
      <c r="AL3" s="24"/>
      <c r="AM3" s="24"/>
      <c r="AN3" s="24"/>
      <c r="AO3" s="24"/>
      <c r="AP3" s="24"/>
      <c r="AQ3" s="24"/>
      <c r="AR3" s="24"/>
      <c r="AS3" s="25"/>
      <c r="AT3" s="25"/>
      <c r="AU3" s="26"/>
      <c r="AV3" s="25"/>
      <c r="AW3" s="24"/>
      <c r="AX3" s="24"/>
      <c r="AY3" s="24"/>
      <c r="AZ3" s="24"/>
      <c r="BA3" s="24"/>
      <c r="BB3" s="24"/>
      <c r="BC3" s="24"/>
      <c r="BD3" s="24"/>
      <c r="BE3" s="24"/>
      <c r="BF3" s="24"/>
      <c r="BG3" s="24"/>
      <c r="BH3" s="24"/>
      <c r="BI3" s="24"/>
      <c r="BJ3" s="24"/>
      <c r="BK3" s="24"/>
      <c r="BL3" s="24"/>
      <c r="BM3" s="24"/>
      <c r="BN3" s="24"/>
      <c r="BO3" s="24"/>
      <c r="BP3" s="24"/>
      <c r="BQ3" s="24"/>
      <c r="BR3" s="24"/>
      <c r="BT3" s="26"/>
      <c r="BV3" s="24"/>
      <c r="BW3" s="24"/>
      <c r="BX3" s="24"/>
      <c r="BY3" s="24"/>
      <c r="BZ3" s="24"/>
      <c r="CA3" s="24"/>
      <c r="CB3" s="24"/>
      <c r="CC3" s="24"/>
      <c r="CD3" s="24"/>
      <c r="CE3" s="24"/>
      <c r="CF3" s="24"/>
      <c r="CG3" s="24"/>
      <c r="CH3" s="24"/>
      <c r="CI3" s="24"/>
      <c r="CJ3" s="24"/>
      <c r="CK3" s="24"/>
      <c r="CL3" s="24"/>
      <c r="CM3" s="24"/>
      <c r="CN3" s="22"/>
      <c r="CO3" s="24"/>
      <c r="CP3" s="24"/>
      <c r="CQ3" s="24"/>
      <c r="CR3" s="24"/>
      <c r="CS3" s="24"/>
      <c r="CT3" s="22"/>
      <c r="CU3" s="24"/>
      <c r="CV3" s="24"/>
      <c r="CW3" s="22"/>
      <c r="CX3" s="22"/>
      <c r="CY3" s="22"/>
      <c r="CZ3" s="22"/>
      <c r="DA3" s="22"/>
    </row>
    <row r="4" spans="1:105" ht="18" customHeight="1" x14ac:dyDescent="0.45">
      <c r="A4" s="207"/>
      <c r="B4" s="223"/>
      <c r="C4" s="419" t="s">
        <v>79</v>
      </c>
      <c r="I4" s="214"/>
      <c r="J4" s="223"/>
      <c r="T4" s="191"/>
      <c r="V4" s="289"/>
      <c r="W4" s="310"/>
      <c r="Y4" s="23"/>
      <c r="Z4" s="23"/>
      <c r="AA4" s="24"/>
      <c r="AB4" s="24"/>
      <c r="AC4" s="24"/>
      <c r="AD4" s="24"/>
      <c r="AE4" s="24"/>
      <c r="AF4" s="24"/>
      <c r="AG4" s="24"/>
      <c r="AH4" s="24"/>
      <c r="AI4" s="24"/>
      <c r="AJ4" s="24"/>
      <c r="AK4" s="24"/>
      <c r="AL4" s="24"/>
      <c r="AM4" s="24"/>
      <c r="AN4" s="24"/>
      <c r="AO4" s="24"/>
      <c r="AP4" s="24"/>
      <c r="AQ4" s="24"/>
      <c r="AR4" s="24"/>
      <c r="AS4" s="25"/>
      <c r="AT4" s="25"/>
      <c r="AU4" s="26"/>
      <c r="AV4" s="25"/>
      <c r="AW4" s="24"/>
      <c r="AX4" s="24"/>
      <c r="AY4" s="24"/>
      <c r="AZ4" s="24"/>
      <c r="BA4" s="24"/>
      <c r="BB4" s="24"/>
      <c r="BC4" s="24"/>
      <c r="BD4" s="24"/>
      <c r="BE4" s="24"/>
      <c r="BF4" s="24"/>
      <c r="BG4" s="24"/>
      <c r="BH4" s="24"/>
      <c r="BI4" s="24"/>
      <c r="BJ4" s="24"/>
      <c r="BK4" s="24"/>
      <c r="BL4" s="24"/>
      <c r="BM4" s="24"/>
      <c r="BN4" s="24"/>
      <c r="BO4" s="24"/>
      <c r="BP4" s="24"/>
      <c r="BQ4" s="24"/>
      <c r="BR4" s="24"/>
      <c r="BT4" s="26"/>
      <c r="BV4" s="24"/>
      <c r="BW4" s="24"/>
      <c r="BX4" s="24"/>
      <c r="BY4" s="24"/>
      <c r="BZ4" s="24"/>
      <c r="CA4" s="24"/>
      <c r="CB4" s="24"/>
      <c r="CC4" s="24"/>
      <c r="CD4" s="24"/>
      <c r="CE4" s="24"/>
      <c r="CF4" s="24"/>
      <c r="CG4" s="24"/>
      <c r="CH4" s="24"/>
      <c r="CI4" s="24"/>
      <c r="CJ4" s="24"/>
      <c r="CK4" s="24"/>
      <c r="CL4" s="24"/>
      <c r="CM4" s="24"/>
      <c r="CN4" s="22"/>
      <c r="CO4" s="24"/>
      <c r="CP4" s="24"/>
      <c r="CQ4" s="24"/>
      <c r="CR4" s="24"/>
      <c r="CS4" s="24"/>
      <c r="CT4" s="22"/>
      <c r="CU4" s="24"/>
      <c r="CV4" s="24"/>
      <c r="CW4" s="22"/>
      <c r="CX4" s="22"/>
      <c r="CY4" s="22"/>
      <c r="CZ4" s="22"/>
      <c r="DA4" s="22"/>
    </row>
    <row r="5" spans="1:105" ht="18" customHeight="1" x14ac:dyDescent="0.45">
      <c r="A5" s="207"/>
      <c r="B5" s="223"/>
      <c r="C5" s="382" t="s">
        <v>80</v>
      </c>
      <c r="I5" s="214"/>
      <c r="J5" s="223"/>
      <c r="T5" s="191"/>
      <c r="V5" s="289"/>
      <c r="W5" s="310"/>
      <c r="Y5" s="23"/>
      <c r="Z5" s="23"/>
      <c r="AA5" s="24"/>
      <c r="AB5" s="24"/>
      <c r="AC5" s="24"/>
      <c r="AD5" s="24"/>
      <c r="AE5" s="24"/>
      <c r="AF5" s="24"/>
      <c r="AG5" s="24"/>
      <c r="AH5" s="24"/>
      <c r="AI5" s="24"/>
      <c r="AJ5" s="24"/>
      <c r="AK5" s="24"/>
      <c r="AL5" s="24"/>
      <c r="AM5" s="24"/>
      <c r="AN5" s="24"/>
      <c r="AO5" s="24"/>
      <c r="AP5" s="24"/>
      <c r="AQ5" s="24"/>
      <c r="AR5" s="24"/>
      <c r="AS5" s="25"/>
      <c r="AT5" s="25"/>
      <c r="AU5" s="26"/>
      <c r="AV5" s="25"/>
      <c r="AW5" s="24"/>
      <c r="AX5" s="24"/>
      <c r="AY5" s="24"/>
      <c r="AZ5" s="24"/>
      <c r="BA5" s="24"/>
      <c r="BB5" s="24"/>
      <c r="BC5" s="24"/>
      <c r="BD5" s="24"/>
      <c r="BE5" s="24"/>
      <c r="BF5" s="24"/>
      <c r="BG5" s="24"/>
      <c r="BH5" s="24"/>
      <c r="BI5" s="24"/>
      <c r="BJ5" s="24"/>
      <c r="BK5" s="24"/>
      <c r="BL5" s="24"/>
      <c r="BM5" s="24"/>
      <c r="BN5" s="24"/>
      <c r="BO5" s="24"/>
      <c r="BP5" s="24"/>
      <c r="BQ5" s="24"/>
      <c r="BR5" s="24"/>
      <c r="BT5" s="26"/>
      <c r="BV5" s="24"/>
      <c r="BW5" s="24"/>
      <c r="BX5" s="24"/>
      <c r="BY5" s="24"/>
      <c r="BZ5" s="24"/>
      <c r="CA5" s="24"/>
      <c r="CB5" s="24"/>
      <c r="CC5" s="24"/>
      <c r="CD5" s="24"/>
      <c r="CE5" s="24"/>
      <c r="CF5" s="24"/>
      <c r="CG5" s="24"/>
      <c r="CH5" s="24"/>
      <c r="CI5" s="24"/>
      <c r="CJ5" s="24"/>
      <c r="CK5" s="24"/>
      <c r="CL5" s="24"/>
      <c r="CM5" s="24"/>
      <c r="CN5" s="22"/>
      <c r="CO5" s="24"/>
      <c r="CP5" s="24"/>
      <c r="CQ5" s="24"/>
      <c r="CR5" s="24"/>
      <c r="CS5" s="24"/>
      <c r="CT5" s="22"/>
      <c r="CU5" s="24"/>
      <c r="CV5" s="24"/>
      <c r="CW5" s="22"/>
      <c r="CX5" s="22"/>
      <c r="CY5" s="22"/>
      <c r="CZ5" s="22"/>
      <c r="DA5" s="22"/>
    </row>
    <row r="6" spans="1:105" ht="18" customHeight="1" x14ac:dyDescent="0.45">
      <c r="A6" s="207"/>
      <c r="B6" s="223"/>
      <c r="C6" s="420" t="s">
        <v>81</v>
      </c>
      <c r="I6" s="214"/>
      <c r="J6" s="223"/>
      <c r="T6" s="191"/>
      <c r="V6" s="289"/>
      <c r="W6" s="310"/>
      <c r="Y6" s="23"/>
      <c r="Z6" s="23"/>
      <c r="AA6" s="24"/>
      <c r="AB6" s="24"/>
      <c r="AC6" s="24"/>
      <c r="AD6" s="24"/>
      <c r="AE6" s="24"/>
      <c r="AF6" s="24"/>
      <c r="AG6" s="24"/>
      <c r="AH6" s="24"/>
      <c r="AI6" s="24"/>
      <c r="AJ6" s="24"/>
      <c r="AK6" s="24"/>
      <c r="AL6" s="24"/>
      <c r="AM6" s="24"/>
      <c r="AN6" s="24"/>
      <c r="AO6" s="24"/>
      <c r="AP6" s="24"/>
      <c r="AQ6" s="24"/>
      <c r="AR6" s="24"/>
      <c r="AS6" s="25"/>
      <c r="AT6" s="25"/>
      <c r="AU6" s="26"/>
      <c r="AV6" s="25"/>
      <c r="AW6" s="24"/>
      <c r="AX6" s="24"/>
      <c r="AY6" s="24"/>
      <c r="AZ6" s="24"/>
      <c r="BA6" s="24"/>
      <c r="BB6" s="24"/>
      <c r="BC6" s="24"/>
      <c r="BD6" s="24"/>
      <c r="BE6" s="24"/>
      <c r="BF6" s="24"/>
      <c r="BG6" s="24"/>
      <c r="BH6" s="24"/>
      <c r="BI6" s="24"/>
      <c r="BJ6" s="24"/>
      <c r="BK6" s="24"/>
      <c r="BL6" s="24"/>
      <c r="BM6" s="24"/>
      <c r="BN6" s="24"/>
      <c r="BO6" s="24"/>
      <c r="BP6" s="24"/>
      <c r="BQ6" s="24"/>
      <c r="BR6" s="24"/>
      <c r="BT6" s="26"/>
      <c r="BV6" s="24"/>
      <c r="BW6" s="24"/>
      <c r="BX6" s="24"/>
      <c r="BY6" s="24"/>
      <c r="BZ6" s="24"/>
      <c r="CA6" s="24"/>
      <c r="CB6" s="24"/>
      <c r="CC6" s="24"/>
      <c r="CD6" s="24"/>
      <c r="CE6" s="24"/>
      <c r="CF6" s="24"/>
      <c r="CG6" s="24"/>
      <c r="CH6" s="24"/>
      <c r="CI6" s="24"/>
      <c r="CJ6" s="24"/>
      <c r="CK6" s="24"/>
      <c r="CL6" s="24"/>
      <c r="CM6" s="24"/>
      <c r="CN6" s="22"/>
      <c r="CO6" s="24"/>
      <c r="CP6" s="24"/>
      <c r="CQ6" s="24"/>
      <c r="CR6" s="24"/>
      <c r="CS6" s="24"/>
      <c r="CT6" s="22"/>
      <c r="CU6" s="24"/>
      <c r="CV6" s="24"/>
      <c r="CW6" s="22"/>
      <c r="CX6" s="22"/>
      <c r="CY6" s="22"/>
      <c r="CZ6" s="22"/>
      <c r="DA6" s="22"/>
    </row>
    <row r="7" spans="1:105" ht="15.75" customHeight="1" x14ac:dyDescent="0.55000000000000004"/>
    <row r="8" spans="1:105" s="35" customFormat="1" ht="15.75" customHeight="1" x14ac:dyDescent="0.55000000000000004">
      <c r="A8" s="27" t="s">
        <v>82</v>
      </c>
      <c r="B8" s="27"/>
      <c r="C8" s="27"/>
      <c r="D8" s="195"/>
      <c r="E8" s="27"/>
      <c r="F8" s="27"/>
      <c r="G8" s="27"/>
      <c r="H8" s="27"/>
      <c r="I8" s="336"/>
      <c r="J8" s="28" t="s">
        <v>83</v>
      </c>
      <c r="K8" s="343"/>
      <c r="L8" s="28"/>
      <c r="M8" s="28"/>
      <c r="N8" s="192"/>
      <c r="O8" s="28"/>
      <c r="P8" s="28"/>
      <c r="Q8" s="28"/>
      <c r="R8" s="28"/>
      <c r="S8" s="28"/>
      <c r="T8" s="28"/>
      <c r="U8" s="28"/>
      <c r="V8" s="29" t="s">
        <v>84</v>
      </c>
      <c r="W8" s="29"/>
      <c r="X8" s="29"/>
      <c r="Y8" s="29"/>
      <c r="Z8" s="29"/>
      <c r="AA8" s="34"/>
      <c r="AB8" s="34"/>
      <c r="AC8" s="34"/>
      <c r="AD8" s="34"/>
      <c r="AE8" s="34"/>
      <c r="AF8" s="34"/>
      <c r="AG8" s="34"/>
      <c r="AH8" s="34"/>
      <c r="AI8" s="34"/>
      <c r="AJ8" s="34"/>
      <c r="AK8" s="33"/>
      <c r="AL8" s="33"/>
      <c r="AM8" s="33"/>
      <c r="AN8" s="33"/>
      <c r="AO8" s="33"/>
      <c r="AP8" s="34"/>
      <c r="AQ8" s="34"/>
      <c r="AR8" s="34"/>
      <c r="AS8" s="34"/>
      <c r="AT8" s="34"/>
      <c r="AU8" s="34"/>
      <c r="AV8" s="34"/>
      <c r="AW8" s="34"/>
      <c r="AX8" s="34"/>
      <c r="AY8" s="34"/>
      <c r="AZ8" s="34"/>
      <c r="BA8" s="34"/>
      <c r="BB8" s="34"/>
      <c r="BC8" s="34"/>
      <c r="BD8" s="34"/>
      <c r="BE8" s="34"/>
      <c r="BF8" s="33"/>
      <c r="BG8" s="34"/>
      <c r="BH8" s="34"/>
      <c r="BI8" s="34"/>
      <c r="BJ8" s="34"/>
      <c r="BK8" s="34"/>
      <c r="BL8" s="34"/>
      <c r="BM8" s="34"/>
      <c r="BN8" s="34"/>
      <c r="BO8" s="34"/>
      <c r="BP8" s="34"/>
      <c r="BQ8" s="34"/>
      <c r="BR8" s="34"/>
      <c r="BS8" s="34"/>
      <c r="BT8" s="34"/>
      <c r="BU8" s="34"/>
      <c r="BV8" s="34"/>
      <c r="BW8" s="34"/>
      <c r="BX8" s="34"/>
      <c r="BY8" s="34"/>
    </row>
    <row r="9" spans="1:105" s="35" customFormat="1" ht="15.75" customHeight="1" x14ac:dyDescent="0.55000000000000004">
      <c r="A9" s="36"/>
      <c r="B9" s="344" t="s">
        <v>85</v>
      </c>
      <c r="C9" s="36"/>
      <c r="D9" s="196"/>
      <c r="E9" s="36"/>
      <c r="F9" s="36"/>
      <c r="G9" s="36"/>
      <c r="H9" s="36"/>
      <c r="I9" s="330"/>
      <c r="K9" s="312"/>
      <c r="N9" s="193"/>
      <c r="AA9" s="37"/>
      <c r="AB9" s="37"/>
      <c r="AC9" s="37"/>
      <c r="AD9" s="37"/>
      <c r="AE9" s="37"/>
      <c r="AF9" s="37"/>
      <c r="AG9" s="37"/>
      <c r="AH9" s="37"/>
      <c r="AI9" s="37"/>
      <c r="AJ9" s="37"/>
      <c r="AK9" s="41"/>
      <c r="AL9" s="41"/>
      <c r="AM9" s="41"/>
      <c r="AN9" s="41"/>
      <c r="AO9" s="41"/>
      <c r="AP9" s="37"/>
      <c r="AQ9" s="37"/>
      <c r="AR9" s="37"/>
      <c r="AS9" s="37"/>
      <c r="AT9" s="37"/>
      <c r="AU9" s="37"/>
      <c r="AV9" s="37"/>
      <c r="AW9" s="37"/>
      <c r="AX9" s="37"/>
      <c r="AY9" s="37"/>
      <c r="AZ9" s="37"/>
      <c r="BA9" s="37"/>
      <c r="BB9" s="37"/>
      <c r="BC9" s="37"/>
      <c r="BD9" s="37"/>
      <c r="BE9" s="37"/>
      <c r="BF9" s="41"/>
      <c r="BG9" s="37"/>
      <c r="BH9" s="37"/>
      <c r="BI9" s="37"/>
      <c r="BJ9" s="37"/>
      <c r="BK9" s="37"/>
      <c r="BL9" s="37"/>
      <c r="BM9" s="37"/>
      <c r="BN9" s="37"/>
      <c r="BO9" s="37"/>
      <c r="BP9" s="37"/>
      <c r="BQ9" s="37"/>
      <c r="BR9" s="37"/>
      <c r="BS9" s="37"/>
      <c r="BT9" s="37"/>
      <c r="BU9" s="37"/>
      <c r="BV9" s="37"/>
      <c r="BW9" s="37"/>
      <c r="BX9" s="37"/>
      <c r="BY9" s="37"/>
    </row>
    <row r="10" spans="1:105" ht="15.75" customHeight="1" thickBot="1" x14ac:dyDescent="0.6">
      <c r="W10" s="439" t="s">
        <v>48</v>
      </c>
      <c r="X10" s="439"/>
      <c r="Y10" s="440"/>
      <c r="AC10" s="345" t="s">
        <v>86</v>
      </c>
    </row>
    <row r="11" spans="1:105" ht="15.75" customHeight="1" x14ac:dyDescent="0.55000000000000004">
      <c r="A11" s="207"/>
      <c r="B11" s="223"/>
      <c r="C11" s="35"/>
      <c r="D11" s="193" t="s">
        <v>87</v>
      </c>
      <c r="E11" s="35" t="s">
        <v>55</v>
      </c>
      <c r="F11" s="35" t="s">
        <v>88</v>
      </c>
      <c r="G11" s="35" t="s">
        <v>89</v>
      </c>
      <c r="H11" s="35"/>
      <c r="I11" s="214"/>
      <c r="J11" s="223"/>
      <c r="K11" s="312"/>
      <c r="L11" s="37"/>
      <c r="M11" s="37"/>
      <c r="N11" s="193" t="s">
        <v>87</v>
      </c>
      <c r="O11" s="35" t="s">
        <v>55</v>
      </c>
      <c r="P11" s="35" t="s">
        <v>88</v>
      </c>
      <c r="Q11" s="35" t="s">
        <v>89</v>
      </c>
      <c r="R11" s="22"/>
      <c r="S11" s="22"/>
      <c r="T11" s="191"/>
      <c r="U11" s="22"/>
      <c r="W11" s="46" t="s">
        <v>48</v>
      </c>
      <c r="X11" s="200" t="s">
        <v>90</v>
      </c>
      <c r="Y11" s="47" t="s">
        <v>25</v>
      </c>
      <c r="AC11" s="346" t="s">
        <v>52</v>
      </c>
      <c r="BQ11" s="37"/>
      <c r="BR11" s="37"/>
      <c r="BS11" s="37"/>
      <c r="BT11" s="37"/>
    </row>
    <row r="12" spans="1:105" ht="15.75" customHeight="1" thickBot="1" x14ac:dyDescent="0.6">
      <c r="A12" s="210" t="s">
        <v>91</v>
      </c>
      <c r="B12" s="225"/>
      <c r="C12" s="202"/>
      <c r="D12" s="203"/>
      <c r="E12" s="202"/>
      <c r="F12" s="202"/>
      <c r="G12" s="202"/>
      <c r="H12" s="202"/>
      <c r="I12" s="217" t="s">
        <v>91</v>
      </c>
      <c r="J12" s="225"/>
      <c r="K12" s="338"/>
      <c r="L12" s="202"/>
      <c r="M12" s="202"/>
      <c r="N12" s="203"/>
      <c r="O12" s="202"/>
      <c r="P12" s="202"/>
      <c r="Q12" s="202"/>
      <c r="R12" s="202"/>
      <c r="S12" s="202"/>
      <c r="T12" s="203"/>
      <c r="U12" s="202"/>
      <c r="W12" s="49">
        <f>AL49-BC49</f>
        <v>-5</v>
      </c>
      <c r="X12" s="50">
        <f>AM49-BD49</f>
        <v>20.087064484851453</v>
      </c>
      <c r="Y12" s="347">
        <f>X12/AM49</f>
        <v>-9.8904710947152179E-3</v>
      </c>
      <c r="AC12" s="348" t="str">
        <f>IFERROR(XIRR(BV18:BV49,V18:V48),"N/A")</f>
        <v>N/A</v>
      </c>
      <c r="AD12" s="119" t="s">
        <v>92</v>
      </c>
      <c r="BQ12" s="37"/>
      <c r="BR12" s="37"/>
      <c r="BS12" s="37"/>
      <c r="BT12" s="37"/>
    </row>
    <row r="13" spans="1:105" ht="15.75" customHeight="1" x14ac:dyDescent="0.55000000000000004">
      <c r="AA13" s="21"/>
      <c r="AB13" s="21"/>
      <c r="AC13" s="119"/>
      <c r="AD13" s="21"/>
    </row>
    <row r="14" spans="1:105" ht="15.75" customHeight="1" x14ac:dyDescent="0.45">
      <c r="B14" s="223" t="s">
        <v>93</v>
      </c>
      <c r="D14" s="191" t="s">
        <v>102</v>
      </c>
      <c r="F14" s="149" t="s">
        <v>94</v>
      </c>
      <c r="J14" s="223" t="s">
        <v>93</v>
      </c>
      <c r="O14" s="21" t="s">
        <v>95</v>
      </c>
      <c r="P14" s="21" t="s">
        <v>96</v>
      </c>
      <c r="Q14" s="21" t="s">
        <v>94</v>
      </c>
      <c r="V14" s="289"/>
      <c r="Y14" s="53" t="s">
        <v>55</v>
      </c>
      <c r="Z14" s="54"/>
      <c r="AA14" s="54"/>
      <c r="AB14" s="54"/>
      <c r="AC14" s="54"/>
      <c r="AD14" s="54"/>
      <c r="AE14" s="54"/>
      <c r="AF14" s="54"/>
      <c r="AG14" s="54"/>
      <c r="AH14" s="54"/>
      <c r="AI14" s="54"/>
      <c r="AJ14" s="55"/>
      <c r="AK14" s="56" t="s">
        <v>97</v>
      </c>
      <c r="AL14" s="57"/>
      <c r="AM14" s="58"/>
      <c r="AN14" s="39"/>
      <c r="AO14" s="59" t="s">
        <v>98</v>
      </c>
      <c r="AP14" s="60"/>
      <c r="AQ14" s="60"/>
      <c r="AR14" s="60"/>
      <c r="AS14" s="60"/>
      <c r="AT14" s="60"/>
      <c r="AU14" s="60"/>
      <c r="AV14" s="60"/>
      <c r="AW14" s="60"/>
      <c r="AX14" s="60"/>
      <c r="AY14" s="60"/>
      <c r="AZ14" s="60"/>
      <c r="BA14" s="60"/>
      <c r="BB14" s="60"/>
      <c r="BC14" s="61"/>
      <c r="BD14" s="61" t="s">
        <v>50</v>
      </c>
      <c r="BE14" s="24"/>
      <c r="BF14" s="22"/>
      <c r="BH14" s="62" t="s">
        <v>99</v>
      </c>
      <c r="BI14" s="63"/>
      <c r="BJ14" s="63"/>
      <c r="BK14" s="63"/>
      <c r="BL14" s="63"/>
      <c r="BM14" s="63"/>
      <c r="BN14" s="63"/>
      <c r="BO14" s="63"/>
      <c r="BP14" s="63"/>
      <c r="BQ14" s="63"/>
      <c r="BR14" s="63"/>
      <c r="BS14" s="63"/>
      <c r="BT14" s="63"/>
      <c r="BU14" s="63"/>
      <c r="BV14" s="64"/>
      <c r="BX14" s="65" t="s">
        <v>100</v>
      </c>
      <c r="BY14" s="45"/>
    </row>
    <row r="15" spans="1:105" ht="15.75" customHeight="1" x14ac:dyDescent="0.45">
      <c r="B15" s="223" t="s">
        <v>101</v>
      </c>
      <c r="D15" s="191" t="s">
        <v>102</v>
      </c>
      <c r="F15" s="329" t="s">
        <v>273</v>
      </c>
      <c r="J15" s="223"/>
      <c r="V15" s="289"/>
      <c r="Y15" s="53" t="s">
        <v>104</v>
      </c>
      <c r="Z15" s="54"/>
      <c r="AA15" s="54"/>
      <c r="AB15" s="54"/>
      <c r="AC15" s="66"/>
      <c r="AD15" s="53" t="s">
        <v>105</v>
      </c>
      <c r="AE15" s="54"/>
      <c r="AF15" s="54"/>
      <c r="AG15" s="54"/>
      <c r="AH15" s="54"/>
      <c r="AI15" s="67"/>
      <c r="AJ15" s="353" t="s">
        <v>50</v>
      </c>
      <c r="AK15" s="58"/>
      <c r="AL15" s="68"/>
      <c r="AM15" s="69" t="s">
        <v>50</v>
      </c>
      <c r="AN15" s="39"/>
      <c r="AO15" s="59" t="s">
        <v>104</v>
      </c>
      <c r="AP15" s="60"/>
      <c r="AQ15" s="60"/>
      <c r="AR15" s="60"/>
      <c r="AS15" s="70"/>
      <c r="AT15" s="60" t="s">
        <v>105</v>
      </c>
      <c r="AU15" s="60"/>
      <c r="AV15" s="60"/>
      <c r="AW15" s="60"/>
      <c r="AX15" s="60"/>
      <c r="AY15" s="60"/>
      <c r="AZ15" s="60"/>
      <c r="BA15" s="60"/>
      <c r="BB15" s="70"/>
      <c r="BC15" s="71" t="s">
        <v>50</v>
      </c>
      <c r="BD15" s="71" t="s">
        <v>106</v>
      </c>
      <c r="BE15" s="24"/>
      <c r="BF15" s="22"/>
      <c r="BH15" s="62" t="s">
        <v>104</v>
      </c>
      <c r="BI15" s="63"/>
      <c r="BJ15" s="63"/>
      <c r="BK15" s="63"/>
      <c r="BL15" s="63"/>
      <c r="BM15" s="63"/>
      <c r="BN15" s="72"/>
      <c r="BO15" s="62" t="s">
        <v>105</v>
      </c>
      <c r="BP15" s="63"/>
      <c r="BQ15" s="63"/>
      <c r="BR15" s="63"/>
      <c r="BS15" s="63"/>
      <c r="BT15" s="63"/>
      <c r="BU15" s="72"/>
      <c r="BV15" s="74"/>
      <c r="BX15" s="74"/>
      <c r="BY15" s="354" t="s">
        <v>107</v>
      </c>
    </row>
    <row r="16" spans="1:105" s="23" customFormat="1" ht="49.5" x14ac:dyDescent="0.45">
      <c r="B16" s="223"/>
      <c r="C16" s="21"/>
      <c r="D16" s="191"/>
      <c r="I16" s="355"/>
      <c r="J16" s="223"/>
      <c r="K16" s="52"/>
      <c r="N16" s="411"/>
      <c r="V16" s="500" t="s">
        <v>108</v>
      </c>
      <c r="W16" s="501" t="s">
        <v>109</v>
      </c>
      <c r="X16" s="501" t="s">
        <v>13</v>
      </c>
      <c r="Y16" s="75" t="s">
        <v>110</v>
      </c>
      <c r="Z16" s="76" t="s">
        <v>111</v>
      </c>
      <c r="AA16" s="76" t="s">
        <v>112</v>
      </c>
      <c r="AB16" s="76" t="s">
        <v>113</v>
      </c>
      <c r="AC16" s="77" t="s">
        <v>114</v>
      </c>
      <c r="AD16" s="75" t="s">
        <v>115</v>
      </c>
      <c r="AE16" s="76" t="s">
        <v>116</v>
      </c>
      <c r="AF16" s="76" t="s">
        <v>117</v>
      </c>
      <c r="AG16" s="76" t="s">
        <v>118</v>
      </c>
      <c r="AH16" s="76" t="s">
        <v>119</v>
      </c>
      <c r="AI16" s="78" t="s">
        <v>120</v>
      </c>
      <c r="AJ16" s="79"/>
      <c r="AK16" s="356" t="s">
        <v>121</v>
      </c>
      <c r="AL16" s="78" t="s">
        <v>68</v>
      </c>
      <c r="AM16" s="80" t="s">
        <v>106</v>
      </c>
      <c r="AN16" s="39"/>
      <c r="AO16" s="81" t="s">
        <v>110</v>
      </c>
      <c r="AP16" s="82" t="s">
        <v>111</v>
      </c>
      <c r="AQ16" s="82" t="s">
        <v>112</v>
      </c>
      <c r="AR16" s="82" t="s">
        <v>122</v>
      </c>
      <c r="AS16" s="83" t="s">
        <v>114</v>
      </c>
      <c r="AT16" s="82" t="s">
        <v>123</v>
      </c>
      <c r="AU16" s="82" t="s">
        <v>124</v>
      </c>
      <c r="AV16" s="82" t="s">
        <v>125</v>
      </c>
      <c r="AW16" s="82" t="s">
        <v>126</v>
      </c>
      <c r="AX16" s="82" t="s">
        <v>127</v>
      </c>
      <c r="AY16" s="82" t="s">
        <v>128</v>
      </c>
      <c r="AZ16" s="82" t="s">
        <v>118</v>
      </c>
      <c r="BA16" s="82" t="s">
        <v>119</v>
      </c>
      <c r="BB16" s="83" t="s">
        <v>120</v>
      </c>
      <c r="BC16" s="84"/>
      <c r="BD16" s="83"/>
      <c r="BE16" s="24"/>
      <c r="BF16" s="85" t="s">
        <v>129</v>
      </c>
      <c r="BG16" s="24"/>
      <c r="BH16" s="86" t="s">
        <v>130</v>
      </c>
      <c r="BI16" s="87" t="s">
        <v>124</v>
      </c>
      <c r="BJ16" s="87" t="s">
        <v>125</v>
      </c>
      <c r="BK16" s="87" t="s">
        <v>126</v>
      </c>
      <c r="BL16" s="87" t="s">
        <v>128</v>
      </c>
      <c r="BM16" s="87" t="s">
        <v>113</v>
      </c>
      <c r="BN16" s="88" t="s">
        <v>114</v>
      </c>
      <c r="BO16" s="87" t="s">
        <v>131</v>
      </c>
      <c r="BP16" s="87" t="s">
        <v>132</v>
      </c>
      <c r="BQ16" s="87" t="s">
        <v>133</v>
      </c>
      <c r="BR16" s="87" t="s">
        <v>134</v>
      </c>
      <c r="BS16" s="87" t="s">
        <v>135</v>
      </c>
      <c r="BT16" s="87" t="s">
        <v>136</v>
      </c>
      <c r="BU16" s="87" t="s">
        <v>120</v>
      </c>
      <c r="BV16" s="89" t="s">
        <v>137</v>
      </c>
      <c r="BW16" s="22"/>
      <c r="BX16" s="89"/>
      <c r="BY16" s="90">
        <f>IF(SUM(BY18:BY47)=0,0,1)</f>
        <v>0</v>
      </c>
    </row>
    <row r="17" spans="1:77" ht="15.75" customHeight="1" x14ac:dyDescent="0.55000000000000004">
      <c r="B17" s="223" t="s">
        <v>138</v>
      </c>
      <c r="J17" s="223" t="s">
        <v>139</v>
      </c>
      <c r="N17" s="191" t="s">
        <v>14</v>
      </c>
      <c r="O17" s="91">
        <f>SUM(F18:F19)</f>
        <v>23</v>
      </c>
      <c r="V17" s="293"/>
      <c r="W17" s="301">
        <v>0</v>
      </c>
      <c r="X17" s="302" t="s">
        <v>140</v>
      </c>
      <c r="Y17" s="93"/>
      <c r="Z17" s="94"/>
      <c r="AA17" s="94"/>
      <c r="AB17" s="94"/>
      <c r="AC17" s="94"/>
      <c r="AD17" s="94"/>
      <c r="AE17" s="94"/>
      <c r="AF17" s="94"/>
      <c r="AG17" s="94"/>
      <c r="AH17" s="94"/>
      <c r="AI17" s="94"/>
      <c r="AJ17" s="94"/>
      <c r="AK17" s="94"/>
      <c r="AL17" s="96">
        <f>-SUM(O142,SUM(O136:O138))</f>
        <v>0</v>
      </c>
      <c r="AM17" s="97">
        <f>AL17*BF17</f>
        <v>0</v>
      </c>
      <c r="AN17" s="98"/>
      <c r="AO17" s="99"/>
      <c r="AP17" s="94"/>
      <c r="AQ17" s="94"/>
      <c r="AR17" s="94"/>
      <c r="AS17" s="94"/>
      <c r="AT17" s="94"/>
      <c r="AU17" s="94"/>
      <c r="AV17" s="94"/>
      <c r="AW17" s="94"/>
      <c r="AX17" s="360"/>
      <c r="AY17" s="94"/>
      <c r="AZ17" s="94"/>
      <c r="BA17" s="94"/>
      <c r="BB17" s="94"/>
      <c r="BC17" s="94"/>
      <c r="BD17" s="100"/>
      <c r="BE17" s="26"/>
      <c r="BF17" s="180">
        <v>1</v>
      </c>
      <c r="BH17" s="101"/>
      <c r="BI17" s="102"/>
      <c r="BJ17" s="102"/>
      <c r="BK17" s="102"/>
      <c r="BL17" s="102"/>
      <c r="BM17" s="102"/>
      <c r="BN17" s="102"/>
      <c r="BO17" s="102"/>
      <c r="BP17" s="102"/>
      <c r="BQ17" s="102"/>
      <c r="BR17" s="102"/>
      <c r="BS17" s="102"/>
      <c r="BT17" s="102"/>
      <c r="BU17" s="102"/>
      <c r="BV17" s="102"/>
      <c r="BW17" s="98"/>
      <c r="BX17" s="103"/>
      <c r="BY17" s="104"/>
    </row>
    <row r="18" spans="1:77" ht="15.75" customHeight="1" x14ac:dyDescent="0.45">
      <c r="C18" s="21" t="s">
        <v>15</v>
      </c>
      <c r="D18" s="191" t="s">
        <v>14</v>
      </c>
      <c r="F18" s="150">
        <v>3</v>
      </c>
      <c r="V18" s="294">
        <f>IF(W18=1,DATE(YEAR($F$20)+(MONTH($F$20)&gt;=4),4,0),EOMONTH(V17,12))</f>
        <v>46477</v>
      </c>
      <c r="W18" s="366">
        <f>W17+1</f>
        <v>1</v>
      </c>
      <c r="X18" s="366" t="str">
        <f>IF(W18&lt;=$F$18,$C$18,IF(W18&gt;SUM($F$18:$F$19),"-",$C$19))</f>
        <v>整備期間</v>
      </c>
      <c r="Y18" s="106">
        <f t="shared" ref="Y18:Y47" si="0">IF($W18=$F$18,$O$78,0)</f>
        <v>0</v>
      </c>
      <c r="Z18" s="107">
        <f t="shared" ref="Z18:Z47" si="1">IF($W18=$F$18,$O$80,0)</f>
        <v>0</v>
      </c>
      <c r="AA18" s="107">
        <f t="shared" ref="AA18:AA47" si="2">IF($W18=$F$18,$O$79,0)</f>
        <v>0</v>
      </c>
      <c r="AB18" s="107">
        <f t="shared" ref="AB18:AB47" si="3">IF($X18="維持管理・運営期間",$F$72,0)</f>
        <v>0</v>
      </c>
      <c r="AC18" s="108">
        <f>SUM(Y18:AB18)</f>
        <v>0</v>
      </c>
      <c r="AD18" s="106">
        <f t="shared" ref="AD18:AD36" si="4">IF($W18=$F$18,$O$33,0)</f>
        <v>0</v>
      </c>
      <c r="AE18" s="107">
        <f t="shared" ref="AE18:AE47" si="5">IF($X18="維持管理・運営期間",$O$46,0)</f>
        <v>0</v>
      </c>
      <c r="AF18" s="107">
        <f>IF($X18=$C$18, $E$52, 0)+IF($X18=$C$19, $E$53, 0)</f>
        <v>0</v>
      </c>
      <c r="AG18" s="368">
        <f>IF(AND($W18&gt;$O$83, SUM($AA$17:AA17)&gt;0,SUM($AG$17:AG17)&lt;$O$79),$O$82,0)</f>
        <v>0</v>
      </c>
      <c r="AH18" s="107">
        <f>IF(SUM($AA17:$AA$18)&gt;0,($O$79-SUM($AG17:$AG$18))*$F$83,0)</f>
        <v>0</v>
      </c>
      <c r="AI18" s="108">
        <f>SUM(AD18:AH18)</f>
        <v>0</v>
      </c>
      <c r="AJ18" s="107">
        <f t="shared" ref="AJ18:AJ36" si="6">AC18-AI18</f>
        <v>0</v>
      </c>
      <c r="AK18" s="115">
        <f>-MIN(0, AH18-BQ18)</f>
        <v>0</v>
      </c>
      <c r="AL18" s="109"/>
      <c r="AM18" s="108">
        <f t="shared" ref="AM18:AM36" si="7">AJ18*$BF18</f>
        <v>0</v>
      </c>
      <c r="AN18" s="110"/>
      <c r="AO18" s="106">
        <f t="shared" ref="AO18:AO47" si="8">IF($W18=$F$18,$P$78,0)</f>
        <v>0</v>
      </c>
      <c r="AP18" s="107">
        <f t="shared" ref="AP18:AP47" si="9">IF($W18=$F$18,$P$80,0)</f>
        <v>0</v>
      </c>
      <c r="AQ18" s="107">
        <f t="shared" ref="AQ18:AQ47" si="10">IF($W18=$F$18,$P$79,0)</f>
        <v>0</v>
      </c>
      <c r="AR18" s="107">
        <f t="shared" ref="AR18:AR47" si="11">IF($W18="-",0,IF($W18&lt;=$F$18,$P$129,IF($W18=$F$18+1,$P$130,$P$131)))</f>
        <v>0</v>
      </c>
      <c r="AS18" s="108">
        <f>SUM(AO18:AR18)</f>
        <v>0</v>
      </c>
      <c r="AT18" s="107">
        <f t="shared" ref="AT18:AT36" si="12">IF(W18=$F$18,$P$33,0)</f>
        <v>0</v>
      </c>
      <c r="AU18" s="107">
        <f t="shared" ref="AU18:AU47" si="13">IFERROR(-PPMT($P$40,W18-$F$18,$F$19,SUM(P$34,P$59)),0)</f>
        <v>0</v>
      </c>
      <c r="AV18" s="107">
        <f t="shared" ref="AV18:AV47" si="14">IFERROR(-IPMT($P$40,W18-$F$18,$F$19,SUM($P$34,$P$59)),0)</f>
        <v>0</v>
      </c>
      <c r="AW18" s="107">
        <f t="shared" ref="AW18:AW47" si="15">IF(AND(W18&gt;$F$18,W18&lt;=SUM($F$18:$F$19)),$P$48,0)</f>
        <v>0</v>
      </c>
      <c r="AX18" s="368">
        <f>IF($X18=$C$18, $F$52, 0)+IF($X18=$C$19, $F$53, 0)</f>
        <v>25</v>
      </c>
      <c r="AY18" s="107">
        <f t="shared" ref="AY18:AY47" si="16">IF(AND(W18&gt;$F$18,W18&lt;=SUM($F$18:$F$19)),$P$62,0)</f>
        <v>0</v>
      </c>
      <c r="AZ18" s="368">
        <f>IF(AND($W18&gt;$P$83, SUM($AQ$17:AQ17)&gt;0,SUM($AZ$17:AZ17)&lt;$P$79),$P$82,0)</f>
        <v>0</v>
      </c>
      <c r="BA18" s="107">
        <f>IF(SUM($AQ17:$AQ$18)&gt;0,($P$79-SUM($AZ17:$AZ$18))*$F$83,0)</f>
        <v>0</v>
      </c>
      <c r="BB18" s="108">
        <f>SUM(AT18:BA18)</f>
        <v>25</v>
      </c>
      <c r="BC18" s="107">
        <f>AS18-BB18</f>
        <v>-25</v>
      </c>
      <c r="BD18" s="108">
        <f t="shared" ref="BD18:BD36" si="17">BC18*$BF18</f>
        <v>-24.088630744415777</v>
      </c>
      <c r="BE18" s="111"/>
      <c r="BF18" s="180">
        <f>1/(1+$O$25)</f>
        <v>0.96354522977663104</v>
      </c>
      <c r="BH18" s="112">
        <f>AT18</f>
        <v>0</v>
      </c>
      <c r="BI18" s="112">
        <f>AU18</f>
        <v>0</v>
      </c>
      <c r="BJ18" s="113">
        <f>AV18</f>
        <v>0</v>
      </c>
      <c r="BK18" s="113">
        <f>AW18</f>
        <v>0</v>
      </c>
      <c r="BL18" s="113">
        <f>AY18</f>
        <v>0</v>
      </c>
      <c r="BM18" s="107">
        <f t="shared" ref="BM18:BM47" si="18">IF($X18="維持管理・運営期間",$F$72,0)</f>
        <v>0</v>
      </c>
      <c r="BN18" s="114">
        <f t="shared" ref="BN18:BN36" si="19">SUM(BH18:BM18)</f>
        <v>0</v>
      </c>
      <c r="BO18" s="113">
        <f t="shared" ref="BO18:BO36" si="20">IF($W18=$F$18,$P$35,0)</f>
        <v>0</v>
      </c>
      <c r="BP18" s="113">
        <f t="shared" ref="BP18:BP47" si="21">IF(AND(W18&gt;$F$18,W18&lt;=SUM($F$18:$F$19)),$P$46,0)</f>
        <v>0</v>
      </c>
      <c r="BQ18" s="113">
        <f t="shared" ref="BQ18:BQ47" si="22">IFERROR(-IPMT($P$87,W18-$F$18,$F$19,$P$34),0)</f>
        <v>0</v>
      </c>
      <c r="BR18" s="113">
        <f t="shared" ref="BR18:BR47" si="23">IF($W18&lt;=$O$18,$F$137,0)</f>
        <v>0</v>
      </c>
      <c r="BS18" s="113">
        <f t="shared" ref="BS18:BS47" si="24">IF($W18=1,$O$136,0)</f>
        <v>0</v>
      </c>
      <c r="BT18" s="107">
        <f>IF($X18="-",0,IF($W18&lt;=$F$18,$P$105,IF($W18=$F$18+1,$P$106,$P$107)))</f>
        <v>0</v>
      </c>
      <c r="BU18" s="114">
        <f>SUM(BO18:BT18)</f>
        <v>0</v>
      </c>
      <c r="BV18" s="114">
        <f t="shared" ref="BV18:BV36" si="25">BN18-BU18</f>
        <v>0</v>
      </c>
      <c r="BW18" s="98"/>
      <c r="BX18" s="115">
        <f t="shared" ref="BX18:BX47" si="26">IFERROR(-PPMT($P$87,$W18-$F$18,$F$19,$P$34),0)</f>
        <v>0</v>
      </c>
      <c r="BY18" s="118">
        <f t="shared" ref="BY18:BY36" si="27">IF(W18&lt;=$F$18,0,IF(BV18&gt;=BX18,0,1))</f>
        <v>0</v>
      </c>
    </row>
    <row r="19" spans="1:77" ht="15.75" customHeight="1" x14ac:dyDescent="0.45">
      <c r="C19" s="21" t="s">
        <v>141</v>
      </c>
      <c r="D19" s="191" t="s">
        <v>14</v>
      </c>
      <c r="F19" s="150">
        <v>20</v>
      </c>
      <c r="J19" s="120"/>
      <c r="V19" s="294">
        <f t="shared" ref="V19:V36" si="28">IF(W19=1,DATE(YEAR($F$20)+(MONTH($F$20)&gt;=4),4,0),EOMONTH(V18,12))</f>
        <v>46843</v>
      </c>
      <c r="W19" s="366">
        <f t="shared" ref="W19:W47" si="29">W18+1</f>
        <v>2</v>
      </c>
      <c r="X19" s="366" t="str">
        <f t="shared" ref="X19:X47" si="30">IF(W19&lt;=$F$18,$C$18,IF(W19&gt;SUM($F$18:$F$19),"-",$C$19))</f>
        <v>整備期間</v>
      </c>
      <c r="Y19" s="106">
        <f t="shared" si="0"/>
        <v>0</v>
      </c>
      <c r="Z19" s="107">
        <f t="shared" si="1"/>
        <v>0</v>
      </c>
      <c r="AA19" s="107">
        <f t="shared" si="2"/>
        <v>0</v>
      </c>
      <c r="AB19" s="107">
        <f t="shared" si="3"/>
        <v>0</v>
      </c>
      <c r="AC19" s="108">
        <f t="shared" ref="AC19:AC36" si="31">SUM(Y19:AB19)</f>
        <v>0</v>
      </c>
      <c r="AD19" s="106">
        <f t="shared" si="4"/>
        <v>0</v>
      </c>
      <c r="AE19" s="107">
        <f t="shared" si="5"/>
        <v>0</v>
      </c>
      <c r="AF19" s="107">
        <f t="shared" ref="AF19:AF47" si="32">IF($X19=$C$18, $E$52, 0)+IF($X19=$C$19, $E$53, 0)</f>
        <v>0</v>
      </c>
      <c r="AG19" s="368">
        <f>IF(AND($W19&gt;$O$83, SUM($AA$17:AA18)&gt;0,SUM($AG$17:AG18)&lt;$O$79),$O$82,0)</f>
        <v>0</v>
      </c>
      <c r="AH19" s="107">
        <f>IF(SUM($AA18:$AA$18)&gt;0,($O$79-SUM($AG18:$AG$18))*$F$83,0)</f>
        <v>0</v>
      </c>
      <c r="AI19" s="108">
        <f t="shared" ref="AI19:AI36" si="33">SUM(AD19:AH19)</f>
        <v>0</v>
      </c>
      <c r="AJ19" s="113">
        <f t="shared" si="6"/>
        <v>0</v>
      </c>
      <c r="AK19" s="115">
        <f t="shared" ref="AK19:AK47" si="34">-MIN(0, AH19-BQ19)</f>
        <v>0</v>
      </c>
      <c r="AL19" s="109"/>
      <c r="AM19" s="114">
        <f t="shared" si="7"/>
        <v>0</v>
      </c>
      <c r="AN19" s="110"/>
      <c r="AO19" s="112">
        <f t="shared" si="8"/>
        <v>0</v>
      </c>
      <c r="AP19" s="113">
        <f t="shared" si="9"/>
        <v>0</v>
      </c>
      <c r="AQ19" s="113">
        <f t="shared" si="10"/>
        <v>0</v>
      </c>
      <c r="AR19" s="107">
        <f t="shared" si="11"/>
        <v>0</v>
      </c>
      <c r="AS19" s="108">
        <f t="shared" ref="AS19:AS36" si="35">SUM(AO19:AR19)</f>
        <v>0</v>
      </c>
      <c r="AT19" s="107">
        <f t="shared" si="12"/>
        <v>0</v>
      </c>
      <c r="AU19" s="107">
        <f t="shared" si="13"/>
        <v>0</v>
      </c>
      <c r="AV19" s="107">
        <f t="shared" si="14"/>
        <v>0</v>
      </c>
      <c r="AW19" s="107">
        <f t="shared" si="15"/>
        <v>0</v>
      </c>
      <c r="AX19" s="368">
        <f t="shared" ref="AX19:AX47" si="36">IF($X19=$C$18, $F$52, 0)+IF($X19=$C$19, $F$53, 0)</f>
        <v>25</v>
      </c>
      <c r="AY19" s="107">
        <f t="shared" si="16"/>
        <v>0</v>
      </c>
      <c r="AZ19" s="368">
        <f>IF(AND($W19&gt;$P$83, SUM($AQ$17:AQ18)&gt;0,SUM($AZ$17:AZ18)&lt;$P$79),$P$82,0)</f>
        <v>0</v>
      </c>
      <c r="BA19" s="107">
        <f>IF(SUM($AQ18:$AQ$18)&gt;0,($P$79-SUM($AZ18:$AZ$18))*$F$83,0)</f>
        <v>0</v>
      </c>
      <c r="BB19" s="108">
        <f t="shared" ref="BB19:BB36" si="37">SUM(AT19:BA19)</f>
        <v>25</v>
      </c>
      <c r="BC19" s="113">
        <f t="shared" ref="BC19:BC36" si="38">AS19-BB19</f>
        <v>-25</v>
      </c>
      <c r="BD19" s="114">
        <f t="shared" si="17"/>
        <v>-23.210485245632519</v>
      </c>
      <c r="BE19" s="111"/>
      <c r="BF19" s="180">
        <f t="shared" ref="BF19:BF36" si="39">BF18/(1+$O$25)</f>
        <v>0.92841940982530069</v>
      </c>
      <c r="BH19" s="112">
        <f t="shared" ref="BH19:BK34" si="40">AT19</f>
        <v>0</v>
      </c>
      <c r="BI19" s="112">
        <f t="shared" si="40"/>
        <v>0</v>
      </c>
      <c r="BJ19" s="113">
        <f t="shared" si="40"/>
        <v>0</v>
      </c>
      <c r="BK19" s="113">
        <f t="shared" si="40"/>
        <v>0</v>
      </c>
      <c r="BL19" s="113">
        <f t="shared" ref="BL19:BL36" si="41">AY19</f>
        <v>0</v>
      </c>
      <c r="BM19" s="107">
        <f t="shared" si="18"/>
        <v>0</v>
      </c>
      <c r="BN19" s="114">
        <f t="shared" si="19"/>
        <v>0</v>
      </c>
      <c r="BO19" s="113">
        <f t="shared" si="20"/>
        <v>0</v>
      </c>
      <c r="BP19" s="113">
        <f t="shared" si="21"/>
        <v>0</v>
      </c>
      <c r="BQ19" s="113">
        <f t="shared" si="22"/>
        <v>0</v>
      </c>
      <c r="BR19" s="113">
        <f t="shared" si="23"/>
        <v>0</v>
      </c>
      <c r="BS19" s="113">
        <f t="shared" si="24"/>
        <v>0</v>
      </c>
      <c r="BT19" s="107">
        <f t="shared" ref="BT19:BT47" si="42">IF($X19="-",0,IF($W19&lt;=$F$18,$P$105,IF($W19=$F$18+1,$P$106,$P$107)))</f>
        <v>0</v>
      </c>
      <c r="BU19" s="114">
        <f t="shared" ref="BU19:BU36" si="43">SUM(BO19:BT19)</f>
        <v>0</v>
      </c>
      <c r="BV19" s="114">
        <f t="shared" si="25"/>
        <v>0</v>
      </c>
      <c r="BW19" s="98"/>
      <c r="BX19" s="115">
        <f t="shared" si="26"/>
        <v>0</v>
      </c>
      <c r="BY19" s="118">
        <f t="shared" si="27"/>
        <v>0</v>
      </c>
    </row>
    <row r="20" spans="1:77" ht="15.75" customHeight="1" x14ac:dyDescent="0.45">
      <c r="C20" s="21" t="s">
        <v>142</v>
      </c>
      <c r="D20" s="191" t="s">
        <v>143</v>
      </c>
      <c r="F20" s="151">
        <v>46113</v>
      </c>
      <c r="J20" s="120"/>
      <c r="V20" s="294">
        <f t="shared" si="28"/>
        <v>47208</v>
      </c>
      <c r="W20" s="366">
        <f t="shared" si="29"/>
        <v>3</v>
      </c>
      <c r="X20" s="366" t="str">
        <f t="shared" si="30"/>
        <v>整備期間</v>
      </c>
      <c r="Y20" s="106">
        <f t="shared" si="0"/>
        <v>1140</v>
      </c>
      <c r="Z20" s="107">
        <f t="shared" si="1"/>
        <v>0</v>
      </c>
      <c r="AA20" s="107">
        <f t="shared" si="2"/>
        <v>1282.5</v>
      </c>
      <c r="AB20" s="107">
        <f t="shared" si="3"/>
        <v>0</v>
      </c>
      <c r="AC20" s="108">
        <f t="shared" si="31"/>
        <v>2422.5</v>
      </c>
      <c r="AD20" s="106">
        <f t="shared" si="4"/>
        <v>2850</v>
      </c>
      <c r="AE20" s="107">
        <f t="shared" si="5"/>
        <v>0</v>
      </c>
      <c r="AF20" s="107">
        <f t="shared" si="32"/>
        <v>0</v>
      </c>
      <c r="AG20" s="368">
        <f>IF(AND($W20&gt;$O$83, SUM($AA$17:AA19)&gt;0,SUM($AG$17:AG19)&lt;$O$79),$O$82,0)</f>
        <v>0</v>
      </c>
      <c r="AH20" s="107">
        <f>IF(SUM($AA$18:$AA19)&gt;0,($O$79-SUM($AG$18:$AG19))*$F$83,0)</f>
        <v>0</v>
      </c>
      <c r="AI20" s="108">
        <f t="shared" si="33"/>
        <v>2850</v>
      </c>
      <c r="AJ20" s="113">
        <f t="shared" si="6"/>
        <v>-427.5</v>
      </c>
      <c r="AK20" s="115">
        <f t="shared" si="34"/>
        <v>0</v>
      </c>
      <c r="AL20" s="277"/>
      <c r="AM20" s="264">
        <f t="shared" si="7"/>
        <v>-382.43042500083448</v>
      </c>
      <c r="AN20" s="278"/>
      <c r="AO20" s="266">
        <f t="shared" si="8"/>
        <v>1140</v>
      </c>
      <c r="AP20" s="263">
        <f t="shared" si="9"/>
        <v>0</v>
      </c>
      <c r="AQ20" s="263">
        <f t="shared" si="10"/>
        <v>1282.5</v>
      </c>
      <c r="AR20" s="260">
        <f t="shared" si="11"/>
        <v>0</v>
      </c>
      <c r="AS20" s="261">
        <f t="shared" si="35"/>
        <v>2422.5</v>
      </c>
      <c r="AT20" s="260">
        <f t="shared" si="12"/>
        <v>2850</v>
      </c>
      <c r="AU20" s="260">
        <f t="shared" si="13"/>
        <v>0</v>
      </c>
      <c r="AV20" s="260">
        <f t="shared" si="14"/>
        <v>0</v>
      </c>
      <c r="AW20" s="260">
        <f t="shared" si="15"/>
        <v>0</v>
      </c>
      <c r="AX20" s="368">
        <f t="shared" si="36"/>
        <v>25</v>
      </c>
      <c r="AY20" s="260">
        <f t="shared" si="16"/>
        <v>0</v>
      </c>
      <c r="AZ20" s="368">
        <f>IF(AND($W20&gt;$P$83, SUM($AQ$17:AQ19)&gt;0,SUM($AZ$17:AZ19)&lt;$P$79),$P$82,0)</f>
        <v>0</v>
      </c>
      <c r="BA20" s="107">
        <f>IF(SUM($AQ$18:$AQ19)&gt;0,($P$79-SUM($AZ$18:$AZ19))*$F$83,0)</f>
        <v>0</v>
      </c>
      <c r="BB20" s="261">
        <f t="shared" si="37"/>
        <v>2875</v>
      </c>
      <c r="BC20" s="263">
        <f t="shared" si="38"/>
        <v>-452.5</v>
      </c>
      <c r="BD20" s="264">
        <f t="shared" si="17"/>
        <v>-404.79477734006457</v>
      </c>
      <c r="BE20" s="279"/>
      <c r="BF20" s="180">
        <f t="shared" si="39"/>
        <v>0.89457409356920348</v>
      </c>
      <c r="BH20" s="266">
        <f t="shared" si="40"/>
        <v>2850</v>
      </c>
      <c r="BI20" s="266">
        <f t="shared" si="40"/>
        <v>0</v>
      </c>
      <c r="BJ20" s="263">
        <f t="shared" si="40"/>
        <v>0</v>
      </c>
      <c r="BK20" s="263">
        <f t="shared" si="40"/>
        <v>0</v>
      </c>
      <c r="BL20" s="263">
        <f t="shared" si="41"/>
        <v>0</v>
      </c>
      <c r="BM20" s="260">
        <f t="shared" si="18"/>
        <v>0</v>
      </c>
      <c r="BN20" s="264">
        <f t="shared" si="19"/>
        <v>2850</v>
      </c>
      <c r="BO20" s="263">
        <f t="shared" si="20"/>
        <v>2850</v>
      </c>
      <c r="BP20" s="263">
        <f t="shared" si="21"/>
        <v>0</v>
      </c>
      <c r="BQ20" s="263">
        <f t="shared" si="22"/>
        <v>0</v>
      </c>
      <c r="BR20" s="263">
        <f t="shared" si="23"/>
        <v>0</v>
      </c>
      <c r="BS20" s="263">
        <f t="shared" si="24"/>
        <v>0</v>
      </c>
      <c r="BT20" s="107">
        <f t="shared" si="42"/>
        <v>0</v>
      </c>
      <c r="BU20" s="264">
        <f t="shared" si="43"/>
        <v>2850</v>
      </c>
      <c r="BV20" s="264">
        <f t="shared" si="25"/>
        <v>0</v>
      </c>
      <c r="BW20" s="265"/>
      <c r="BX20" s="361">
        <f t="shared" si="26"/>
        <v>0</v>
      </c>
      <c r="BY20" s="499">
        <f t="shared" si="27"/>
        <v>0</v>
      </c>
    </row>
    <row r="21" spans="1:77" ht="15.75" customHeight="1" x14ac:dyDescent="0.45">
      <c r="B21" s="116"/>
      <c r="C21" s="116" t="s">
        <v>144</v>
      </c>
      <c r="D21" s="191" t="s">
        <v>143</v>
      </c>
      <c r="F21" s="152">
        <f>EOMONTH(F20,12*F18-1)</f>
        <v>47208</v>
      </c>
      <c r="J21" s="187"/>
      <c r="V21" s="294">
        <f t="shared" si="28"/>
        <v>47573</v>
      </c>
      <c r="W21" s="366">
        <f t="shared" si="29"/>
        <v>4</v>
      </c>
      <c r="X21" s="366" t="str">
        <f t="shared" si="30"/>
        <v>維持管理・運営期間</v>
      </c>
      <c r="Y21" s="106">
        <f t="shared" si="0"/>
        <v>0</v>
      </c>
      <c r="Z21" s="107">
        <f t="shared" si="1"/>
        <v>0</v>
      </c>
      <c r="AA21" s="107">
        <f t="shared" si="2"/>
        <v>0</v>
      </c>
      <c r="AB21" s="107">
        <f t="shared" si="3"/>
        <v>0</v>
      </c>
      <c r="AC21" s="108">
        <f t="shared" si="31"/>
        <v>0</v>
      </c>
      <c r="AD21" s="106">
        <f t="shared" si="4"/>
        <v>0</v>
      </c>
      <c r="AE21" s="107">
        <f t="shared" si="5"/>
        <v>47.5</v>
      </c>
      <c r="AF21" s="107">
        <f t="shared" si="32"/>
        <v>10</v>
      </c>
      <c r="AG21" s="368">
        <f>IF(AND($W21&gt;$O$83, SUM($AA$17:AA20)&gt;0,SUM($AG$17:AG20)&lt;$O$79),$O$82,0)</f>
        <v>0</v>
      </c>
      <c r="AH21" s="107">
        <f>IF(SUM($AA$18:$AA20)&gt;0,($O$79-SUM($AG$18:$AG20))*$F$83,0)</f>
        <v>25.008749999999999</v>
      </c>
      <c r="AI21" s="108">
        <f t="shared" si="33"/>
        <v>82.508749999999992</v>
      </c>
      <c r="AJ21" s="113">
        <f t="shared" si="6"/>
        <v>-82.508749999999992</v>
      </c>
      <c r="AK21" s="115">
        <f t="shared" si="34"/>
        <v>0</v>
      </c>
      <c r="AL21" s="277"/>
      <c r="AM21" s="264">
        <f t="shared" si="7"/>
        <v>-71.119456717334387</v>
      </c>
      <c r="AN21" s="278"/>
      <c r="AO21" s="266">
        <f t="shared" si="8"/>
        <v>0</v>
      </c>
      <c r="AP21" s="263">
        <f t="shared" si="9"/>
        <v>0</v>
      </c>
      <c r="AQ21" s="263">
        <f t="shared" si="10"/>
        <v>0</v>
      </c>
      <c r="AR21" s="260">
        <f t="shared" si="11"/>
        <v>0</v>
      </c>
      <c r="AS21" s="261">
        <f t="shared" si="35"/>
        <v>0</v>
      </c>
      <c r="AT21" s="260">
        <f t="shared" si="12"/>
        <v>0</v>
      </c>
      <c r="AU21" s="260">
        <f t="shared" si="13"/>
        <v>0</v>
      </c>
      <c r="AV21" s="260">
        <f t="shared" si="14"/>
        <v>0</v>
      </c>
      <c r="AW21" s="260">
        <f t="shared" si="15"/>
        <v>47.5</v>
      </c>
      <c r="AX21" s="368">
        <f t="shared" si="36"/>
        <v>6</v>
      </c>
      <c r="AY21" s="260">
        <f t="shared" si="16"/>
        <v>0</v>
      </c>
      <c r="AZ21" s="368">
        <f>IF(AND($W21&gt;$P$83, SUM($AQ$17:AQ20)&gt;0,SUM($AZ$17:AZ20)&lt;$P$79),$P$82,0)</f>
        <v>0</v>
      </c>
      <c r="BA21" s="107">
        <f>IF(SUM($AQ$18:$AQ20)&gt;0,($P$79-SUM($AZ$18:$AZ20))*$F$83,0)</f>
        <v>25.008749999999999</v>
      </c>
      <c r="BB21" s="261">
        <f t="shared" si="37"/>
        <v>78.508749999999992</v>
      </c>
      <c r="BC21" s="263">
        <f t="shared" si="38"/>
        <v>-78.508749999999992</v>
      </c>
      <c r="BD21" s="264">
        <f t="shared" si="17"/>
        <v>-67.671606315172951</v>
      </c>
      <c r="BE21" s="279"/>
      <c r="BF21" s="180">
        <f t="shared" si="39"/>
        <v>0.86196260054035956</v>
      </c>
      <c r="BH21" s="266">
        <f t="shared" si="40"/>
        <v>0</v>
      </c>
      <c r="BI21" s="266">
        <f t="shared" si="40"/>
        <v>0</v>
      </c>
      <c r="BJ21" s="263">
        <f t="shared" si="40"/>
        <v>0</v>
      </c>
      <c r="BK21" s="263">
        <f t="shared" si="40"/>
        <v>47.5</v>
      </c>
      <c r="BL21" s="263">
        <f t="shared" si="41"/>
        <v>0</v>
      </c>
      <c r="BM21" s="260">
        <f t="shared" si="18"/>
        <v>0</v>
      </c>
      <c r="BN21" s="264">
        <f t="shared" si="19"/>
        <v>47.5</v>
      </c>
      <c r="BO21" s="263">
        <f t="shared" si="20"/>
        <v>0</v>
      </c>
      <c r="BP21" s="263">
        <f t="shared" si="21"/>
        <v>47.5</v>
      </c>
      <c r="BQ21" s="263">
        <f t="shared" si="22"/>
        <v>0</v>
      </c>
      <c r="BR21" s="263">
        <f t="shared" si="23"/>
        <v>0</v>
      </c>
      <c r="BS21" s="263">
        <f t="shared" si="24"/>
        <v>0</v>
      </c>
      <c r="BT21" s="107">
        <f t="shared" si="42"/>
        <v>0</v>
      </c>
      <c r="BU21" s="264">
        <f t="shared" si="43"/>
        <v>47.5</v>
      </c>
      <c r="BV21" s="264">
        <f t="shared" si="25"/>
        <v>0</v>
      </c>
      <c r="BW21" s="265"/>
      <c r="BX21" s="361">
        <f t="shared" si="26"/>
        <v>0</v>
      </c>
      <c r="BY21" s="499">
        <f t="shared" si="27"/>
        <v>0</v>
      </c>
    </row>
    <row r="22" spans="1:77" ht="15.75" customHeight="1" x14ac:dyDescent="0.45">
      <c r="C22" s="21" t="s">
        <v>145</v>
      </c>
      <c r="D22" s="191" t="s">
        <v>143</v>
      </c>
      <c r="F22" s="152">
        <f>F21+1</f>
        <v>47209</v>
      </c>
      <c r="V22" s="294">
        <f t="shared" si="28"/>
        <v>47938</v>
      </c>
      <c r="W22" s="366">
        <f t="shared" si="29"/>
        <v>5</v>
      </c>
      <c r="X22" s="366" t="str">
        <f t="shared" si="30"/>
        <v>維持管理・運営期間</v>
      </c>
      <c r="Y22" s="106">
        <f t="shared" si="0"/>
        <v>0</v>
      </c>
      <c r="Z22" s="107">
        <f t="shared" si="1"/>
        <v>0</v>
      </c>
      <c r="AA22" s="107">
        <f t="shared" si="2"/>
        <v>0</v>
      </c>
      <c r="AB22" s="107">
        <f t="shared" si="3"/>
        <v>0</v>
      </c>
      <c r="AC22" s="108">
        <f t="shared" si="31"/>
        <v>0</v>
      </c>
      <c r="AD22" s="106">
        <f t="shared" si="4"/>
        <v>0</v>
      </c>
      <c r="AE22" s="107">
        <f t="shared" si="5"/>
        <v>47.5</v>
      </c>
      <c r="AF22" s="107">
        <f t="shared" si="32"/>
        <v>10</v>
      </c>
      <c r="AG22" s="368">
        <f>IF(AND($W22&gt;$O$83, SUM($AA$17:AA21)&gt;0,SUM($AG$17:AG21)&lt;$O$79),$O$82,0)</f>
        <v>0</v>
      </c>
      <c r="AH22" s="107">
        <f>IF(SUM($AA$18:$AA21)&gt;0,($O$79-SUM($AG$18:$AG21))*$F$83,0)</f>
        <v>25.008749999999999</v>
      </c>
      <c r="AI22" s="108">
        <f t="shared" si="33"/>
        <v>82.508749999999992</v>
      </c>
      <c r="AJ22" s="113">
        <f t="shared" si="6"/>
        <v>-82.508749999999992</v>
      </c>
      <c r="AK22" s="115">
        <f t="shared" si="34"/>
        <v>0</v>
      </c>
      <c r="AL22" s="277"/>
      <c r="AM22" s="264">
        <f t="shared" si="7"/>
        <v>-68.526813264293125</v>
      </c>
      <c r="AN22" s="278"/>
      <c r="AO22" s="266">
        <f t="shared" si="8"/>
        <v>0</v>
      </c>
      <c r="AP22" s="263">
        <f t="shared" si="9"/>
        <v>0</v>
      </c>
      <c r="AQ22" s="263">
        <f t="shared" si="10"/>
        <v>0</v>
      </c>
      <c r="AR22" s="260">
        <f t="shared" si="11"/>
        <v>0</v>
      </c>
      <c r="AS22" s="261">
        <f t="shared" si="35"/>
        <v>0</v>
      </c>
      <c r="AT22" s="260">
        <f t="shared" si="12"/>
        <v>0</v>
      </c>
      <c r="AU22" s="260">
        <f t="shared" si="13"/>
        <v>0</v>
      </c>
      <c r="AV22" s="260">
        <f t="shared" si="14"/>
        <v>0</v>
      </c>
      <c r="AW22" s="260">
        <f t="shared" si="15"/>
        <v>47.5</v>
      </c>
      <c r="AX22" s="368">
        <f t="shared" si="36"/>
        <v>6</v>
      </c>
      <c r="AY22" s="260">
        <f t="shared" si="16"/>
        <v>0</v>
      </c>
      <c r="AZ22" s="368">
        <f>IF(AND($W22&gt;$P$83, SUM($AQ$17:AQ21)&gt;0,SUM($AZ$17:AZ21)&lt;$P$79),$P$82,0)</f>
        <v>0</v>
      </c>
      <c r="BA22" s="107">
        <f>IF(SUM($AQ$18:$AQ21)&gt;0,($P$79-SUM($AZ$18:$AZ21))*$F$83,0)</f>
        <v>25.008749999999999</v>
      </c>
      <c r="BB22" s="261">
        <f t="shared" si="37"/>
        <v>78.508749999999992</v>
      </c>
      <c r="BC22" s="263">
        <f t="shared" si="38"/>
        <v>-78.508749999999992</v>
      </c>
      <c r="BD22" s="264">
        <f t="shared" si="17"/>
        <v>-65.204653456307028</v>
      </c>
      <c r="BE22" s="279"/>
      <c r="BF22" s="180">
        <f t="shared" si="39"/>
        <v>0.8305399519965232</v>
      </c>
      <c r="BH22" s="266">
        <f t="shared" si="40"/>
        <v>0</v>
      </c>
      <c r="BI22" s="266">
        <f t="shared" si="40"/>
        <v>0</v>
      </c>
      <c r="BJ22" s="263">
        <f t="shared" si="40"/>
        <v>0</v>
      </c>
      <c r="BK22" s="263">
        <f t="shared" si="40"/>
        <v>47.5</v>
      </c>
      <c r="BL22" s="263">
        <f t="shared" si="41"/>
        <v>0</v>
      </c>
      <c r="BM22" s="260">
        <f t="shared" si="18"/>
        <v>0</v>
      </c>
      <c r="BN22" s="264">
        <f t="shared" si="19"/>
        <v>47.5</v>
      </c>
      <c r="BO22" s="263">
        <f t="shared" si="20"/>
        <v>0</v>
      </c>
      <c r="BP22" s="263">
        <f t="shared" si="21"/>
        <v>47.5</v>
      </c>
      <c r="BQ22" s="263">
        <f t="shared" si="22"/>
        <v>0</v>
      </c>
      <c r="BR22" s="263">
        <f t="shared" si="23"/>
        <v>0</v>
      </c>
      <c r="BS22" s="263">
        <f t="shared" si="24"/>
        <v>0</v>
      </c>
      <c r="BT22" s="107">
        <f t="shared" si="42"/>
        <v>0</v>
      </c>
      <c r="BU22" s="264">
        <f t="shared" si="43"/>
        <v>47.5</v>
      </c>
      <c r="BV22" s="264">
        <f t="shared" si="25"/>
        <v>0</v>
      </c>
      <c r="BW22" s="265"/>
      <c r="BX22" s="361">
        <f t="shared" si="26"/>
        <v>0</v>
      </c>
      <c r="BY22" s="499">
        <f t="shared" si="27"/>
        <v>0</v>
      </c>
    </row>
    <row r="23" spans="1:77" ht="15.75" customHeight="1" x14ac:dyDescent="0.45">
      <c r="C23" s="21" t="s">
        <v>146</v>
      </c>
      <c r="D23" s="191" t="s">
        <v>143</v>
      </c>
      <c r="F23" s="152">
        <f>EOMONTH(F22,12*F19-1)</f>
        <v>54513</v>
      </c>
      <c r="I23" s="332"/>
      <c r="V23" s="294">
        <f t="shared" si="28"/>
        <v>48304</v>
      </c>
      <c r="W23" s="366">
        <f t="shared" si="29"/>
        <v>6</v>
      </c>
      <c r="X23" s="366" t="str">
        <f t="shared" si="30"/>
        <v>維持管理・運営期間</v>
      </c>
      <c r="Y23" s="106">
        <f t="shared" si="0"/>
        <v>0</v>
      </c>
      <c r="Z23" s="107">
        <f t="shared" si="1"/>
        <v>0</v>
      </c>
      <c r="AA23" s="107">
        <f t="shared" si="2"/>
        <v>0</v>
      </c>
      <c r="AB23" s="107">
        <f t="shared" si="3"/>
        <v>0</v>
      </c>
      <c r="AC23" s="108">
        <f t="shared" si="31"/>
        <v>0</v>
      </c>
      <c r="AD23" s="106">
        <f t="shared" si="4"/>
        <v>0</v>
      </c>
      <c r="AE23" s="107">
        <f t="shared" si="5"/>
        <v>47.5</v>
      </c>
      <c r="AF23" s="107">
        <f t="shared" si="32"/>
        <v>10</v>
      </c>
      <c r="AG23" s="368">
        <f>IF(AND($W23&gt;$O$83, SUM($AA$17:AA22)&gt;0,SUM($AG$17:AG22)&lt;$O$79),$O$82,0)</f>
        <v>0</v>
      </c>
      <c r="AH23" s="107">
        <f>IF(SUM($AA$18:$AA22)&gt;0,($O$79-SUM($AG$18:$AG22))*$F$83,0)</f>
        <v>25.008749999999999</v>
      </c>
      <c r="AI23" s="108">
        <f t="shared" si="33"/>
        <v>82.508749999999992</v>
      </c>
      <c r="AJ23" s="113">
        <f t="shared" si="6"/>
        <v>-82.508749999999992</v>
      </c>
      <c r="AK23" s="115">
        <f t="shared" si="34"/>
        <v>0</v>
      </c>
      <c r="AL23" s="277"/>
      <c r="AM23" s="264">
        <f t="shared" si="7"/>
        <v>-66.028684032603607</v>
      </c>
      <c r="AN23" s="278"/>
      <c r="AO23" s="266">
        <f t="shared" si="8"/>
        <v>0</v>
      </c>
      <c r="AP23" s="263">
        <f t="shared" si="9"/>
        <v>0</v>
      </c>
      <c r="AQ23" s="263">
        <f t="shared" si="10"/>
        <v>0</v>
      </c>
      <c r="AR23" s="260">
        <f t="shared" si="11"/>
        <v>0</v>
      </c>
      <c r="AS23" s="261">
        <f t="shared" si="35"/>
        <v>0</v>
      </c>
      <c r="AT23" s="260">
        <f t="shared" si="12"/>
        <v>0</v>
      </c>
      <c r="AU23" s="260">
        <f t="shared" si="13"/>
        <v>0</v>
      </c>
      <c r="AV23" s="260">
        <f t="shared" si="14"/>
        <v>0</v>
      </c>
      <c r="AW23" s="260">
        <f t="shared" si="15"/>
        <v>47.5</v>
      </c>
      <c r="AX23" s="368">
        <f t="shared" si="36"/>
        <v>6</v>
      </c>
      <c r="AY23" s="260">
        <f t="shared" si="16"/>
        <v>0</v>
      </c>
      <c r="AZ23" s="368">
        <f>IF(AND($W23&gt;$P$83, SUM($AQ$17:AQ22)&gt;0,SUM($AZ$17:AZ22)&lt;$P$79),$P$82,0)</f>
        <v>0</v>
      </c>
      <c r="BA23" s="107">
        <f>IF(SUM($AQ$18:$AQ22)&gt;0,($P$79-SUM($AZ$18:$AZ22))*$F$83,0)</f>
        <v>25.008749999999999</v>
      </c>
      <c r="BB23" s="261">
        <f t="shared" si="37"/>
        <v>78.508749999999992</v>
      </c>
      <c r="BC23" s="263">
        <f t="shared" si="38"/>
        <v>-78.508749999999992</v>
      </c>
      <c r="BD23" s="264">
        <f t="shared" si="17"/>
        <v>-62.827632797062954</v>
      </c>
      <c r="BE23" s="279"/>
      <c r="BF23" s="180">
        <f t="shared" si="39"/>
        <v>0.80026280888516199</v>
      </c>
      <c r="BH23" s="266">
        <f t="shared" si="40"/>
        <v>0</v>
      </c>
      <c r="BI23" s="266">
        <f t="shared" si="40"/>
        <v>0</v>
      </c>
      <c r="BJ23" s="263">
        <f t="shared" si="40"/>
        <v>0</v>
      </c>
      <c r="BK23" s="263">
        <f t="shared" si="40"/>
        <v>47.5</v>
      </c>
      <c r="BL23" s="263">
        <f t="shared" si="41"/>
        <v>0</v>
      </c>
      <c r="BM23" s="260">
        <f t="shared" si="18"/>
        <v>0</v>
      </c>
      <c r="BN23" s="264">
        <f t="shared" si="19"/>
        <v>47.5</v>
      </c>
      <c r="BO23" s="263">
        <f t="shared" si="20"/>
        <v>0</v>
      </c>
      <c r="BP23" s="263">
        <f t="shared" si="21"/>
        <v>47.5</v>
      </c>
      <c r="BQ23" s="263">
        <f t="shared" si="22"/>
        <v>0</v>
      </c>
      <c r="BR23" s="263">
        <f t="shared" si="23"/>
        <v>0</v>
      </c>
      <c r="BS23" s="263">
        <f t="shared" si="24"/>
        <v>0</v>
      </c>
      <c r="BT23" s="107">
        <f t="shared" si="42"/>
        <v>0</v>
      </c>
      <c r="BU23" s="264">
        <f t="shared" si="43"/>
        <v>47.5</v>
      </c>
      <c r="BV23" s="264">
        <f t="shared" si="25"/>
        <v>0</v>
      </c>
      <c r="BW23" s="265"/>
      <c r="BX23" s="361">
        <f t="shared" si="26"/>
        <v>0</v>
      </c>
      <c r="BY23" s="499">
        <f t="shared" si="27"/>
        <v>0</v>
      </c>
    </row>
    <row r="24" spans="1:77" ht="15.75" customHeight="1" x14ac:dyDescent="0.3">
      <c r="V24" s="294">
        <f t="shared" si="28"/>
        <v>48669</v>
      </c>
      <c r="W24" s="366">
        <f t="shared" si="29"/>
        <v>7</v>
      </c>
      <c r="X24" s="366" t="str">
        <f t="shared" si="30"/>
        <v>維持管理・運営期間</v>
      </c>
      <c r="Y24" s="106">
        <f t="shared" si="0"/>
        <v>0</v>
      </c>
      <c r="Z24" s="107">
        <f t="shared" si="1"/>
        <v>0</v>
      </c>
      <c r="AA24" s="107">
        <f t="shared" si="2"/>
        <v>0</v>
      </c>
      <c r="AB24" s="107">
        <f t="shared" si="3"/>
        <v>0</v>
      </c>
      <c r="AC24" s="108">
        <f t="shared" si="31"/>
        <v>0</v>
      </c>
      <c r="AD24" s="106">
        <f t="shared" si="4"/>
        <v>0</v>
      </c>
      <c r="AE24" s="107">
        <f t="shared" si="5"/>
        <v>47.5</v>
      </c>
      <c r="AF24" s="107">
        <f t="shared" si="32"/>
        <v>10</v>
      </c>
      <c r="AG24" s="368">
        <f>IF(AND($W24&gt;$O$83, SUM($AA$17:AA23)&gt;0,SUM($AG$17:AG23)&lt;$O$79),$O$82,0)</f>
        <v>64.125</v>
      </c>
      <c r="AH24" s="107">
        <f>IF(SUM($AA$18:$AA23)&gt;0,($O$79-SUM($AG$18:$AG23))*$F$83,0)</f>
        <v>25.008749999999999</v>
      </c>
      <c r="AI24" s="108">
        <f t="shared" si="33"/>
        <v>146.63374999999999</v>
      </c>
      <c r="AJ24" s="113">
        <f t="shared" si="6"/>
        <v>-146.63374999999999</v>
      </c>
      <c r="AK24" s="115">
        <f t="shared" si="34"/>
        <v>0</v>
      </c>
      <c r="AL24" s="277"/>
      <c r="AM24" s="264">
        <f t="shared" si="7"/>
        <v>-113.06773207696473</v>
      </c>
      <c r="AN24" s="278"/>
      <c r="AO24" s="266">
        <f t="shared" si="8"/>
        <v>0</v>
      </c>
      <c r="AP24" s="263">
        <f t="shared" si="9"/>
        <v>0</v>
      </c>
      <c r="AQ24" s="263">
        <f t="shared" si="10"/>
        <v>0</v>
      </c>
      <c r="AR24" s="260">
        <f t="shared" si="11"/>
        <v>0</v>
      </c>
      <c r="AS24" s="261">
        <f t="shared" si="35"/>
        <v>0</v>
      </c>
      <c r="AT24" s="260">
        <f t="shared" si="12"/>
        <v>0</v>
      </c>
      <c r="AU24" s="260">
        <f t="shared" si="13"/>
        <v>0</v>
      </c>
      <c r="AV24" s="260">
        <f t="shared" si="14"/>
        <v>0</v>
      </c>
      <c r="AW24" s="260">
        <f t="shared" si="15"/>
        <v>47.5</v>
      </c>
      <c r="AX24" s="368">
        <f t="shared" si="36"/>
        <v>6</v>
      </c>
      <c r="AY24" s="260">
        <f t="shared" si="16"/>
        <v>0</v>
      </c>
      <c r="AZ24" s="368">
        <f>IF(AND($W24&gt;$P$83, SUM($AQ$17:AQ23)&gt;0,SUM($AZ$17:AZ23)&lt;$P$79),$P$82,0)</f>
        <v>64.125</v>
      </c>
      <c r="BA24" s="107">
        <f>IF(SUM($AQ$18:$AQ23)&gt;0,($P$79-SUM($AZ$18:$AZ23))*$F$83,0)</f>
        <v>25.008749999999999</v>
      </c>
      <c r="BB24" s="261">
        <f t="shared" si="37"/>
        <v>142.63374999999999</v>
      </c>
      <c r="BC24" s="263">
        <f t="shared" si="38"/>
        <v>-142.63374999999999</v>
      </c>
      <c r="BD24" s="264">
        <f t="shared" si="17"/>
        <v>-109.98337442868896</v>
      </c>
      <c r="BE24" s="279"/>
      <c r="BF24" s="180">
        <f t="shared" si="39"/>
        <v>0.77108941206894555</v>
      </c>
      <c r="BH24" s="266">
        <f t="shared" si="40"/>
        <v>0</v>
      </c>
      <c r="BI24" s="266">
        <f t="shared" si="40"/>
        <v>0</v>
      </c>
      <c r="BJ24" s="263">
        <f t="shared" si="40"/>
        <v>0</v>
      </c>
      <c r="BK24" s="263">
        <f t="shared" si="40"/>
        <v>47.5</v>
      </c>
      <c r="BL24" s="263">
        <f t="shared" si="41"/>
        <v>0</v>
      </c>
      <c r="BM24" s="260">
        <f t="shared" si="18"/>
        <v>0</v>
      </c>
      <c r="BN24" s="264">
        <f t="shared" si="19"/>
        <v>47.5</v>
      </c>
      <c r="BO24" s="263">
        <f t="shared" si="20"/>
        <v>0</v>
      </c>
      <c r="BP24" s="263">
        <f t="shared" si="21"/>
        <v>47.5</v>
      </c>
      <c r="BQ24" s="263">
        <f t="shared" si="22"/>
        <v>0</v>
      </c>
      <c r="BR24" s="263">
        <f t="shared" si="23"/>
        <v>0</v>
      </c>
      <c r="BS24" s="263">
        <f t="shared" si="24"/>
        <v>0</v>
      </c>
      <c r="BT24" s="107">
        <f t="shared" si="42"/>
        <v>0</v>
      </c>
      <c r="BU24" s="264">
        <f t="shared" si="43"/>
        <v>47.5</v>
      </c>
      <c r="BV24" s="264">
        <f t="shared" si="25"/>
        <v>0</v>
      </c>
      <c r="BW24" s="265"/>
      <c r="BX24" s="361">
        <f t="shared" si="26"/>
        <v>0</v>
      </c>
      <c r="BY24" s="499">
        <f t="shared" si="27"/>
        <v>0</v>
      </c>
    </row>
    <row r="25" spans="1:77" ht="15.75" customHeight="1" x14ac:dyDescent="0.3">
      <c r="B25" s="226" t="s">
        <v>147</v>
      </c>
      <c r="J25" s="223" t="s">
        <v>148</v>
      </c>
      <c r="N25" s="191" t="s">
        <v>25</v>
      </c>
      <c r="O25" s="121">
        <f>SUM(F26:F27)</f>
        <v>3.7833999999999993E-2</v>
      </c>
      <c r="V25" s="294">
        <f t="shared" si="28"/>
        <v>49034</v>
      </c>
      <c r="W25" s="366">
        <f t="shared" si="29"/>
        <v>8</v>
      </c>
      <c r="X25" s="366" t="str">
        <f t="shared" si="30"/>
        <v>維持管理・運営期間</v>
      </c>
      <c r="Y25" s="106">
        <f t="shared" si="0"/>
        <v>0</v>
      </c>
      <c r="Z25" s="107">
        <f t="shared" si="1"/>
        <v>0</v>
      </c>
      <c r="AA25" s="107">
        <f t="shared" si="2"/>
        <v>0</v>
      </c>
      <c r="AB25" s="107">
        <f t="shared" si="3"/>
        <v>0</v>
      </c>
      <c r="AC25" s="108">
        <f t="shared" si="31"/>
        <v>0</v>
      </c>
      <c r="AD25" s="106">
        <f t="shared" si="4"/>
        <v>0</v>
      </c>
      <c r="AE25" s="107">
        <f t="shared" si="5"/>
        <v>47.5</v>
      </c>
      <c r="AF25" s="107">
        <f t="shared" si="32"/>
        <v>10</v>
      </c>
      <c r="AG25" s="368">
        <f>IF(AND($W25&gt;$O$83, SUM($AA$17:AA24)&gt;0,SUM($AG$17:AG24)&lt;$O$79),$O$82,0)</f>
        <v>64.125</v>
      </c>
      <c r="AH25" s="107">
        <f>IF(SUM($AA$18:$AA24)&gt;0,($O$79-SUM($AG$18:$AG24))*$F$83,0)</f>
        <v>23.758312499999999</v>
      </c>
      <c r="AI25" s="108">
        <f t="shared" si="33"/>
        <v>145.38331249999999</v>
      </c>
      <c r="AJ25" s="113">
        <f t="shared" si="6"/>
        <v>-145.38331249999999</v>
      </c>
      <c r="AK25" s="115">
        <f t="shared" si="34"/>
        <v>0</v>
      </c>
      <c r="AL25" s="277"/>
      <c r="AM25" s="264">
        <f t="shared" si="7"/>
        <v>-108.0168244249666</v>
      </c>
      <c r="AN25" s="278"/>
      <c r="AO25" s="266">
        <f t="shared" si="8"/>
        <v>0</v>
      </c>
      <c r="AP25" s="263">
        <f t="shared" si="9"/>
        <v>0</v>
      </c>
      <c r="AQ25" s="263">
        <f t="shared" si="10"/>
        <v>0</v>
      </c>
      <c r="AR25" s="260">
        <f t="shared" si="11"/>
        <v>0</v>
      </c>
      <c r="AS25" s="261">
        <f t="shared" si="35"/>
        <v>0</v>
      </c>
      <c r="AT25" s="260">
        <f t="shared" si="12"/>
        <v>0</v>
      </c>
      <c r="AU25" s="260">
        <f t="shared" si="13"/>
        <v>0</v>
      </c>
      <c r="AV25" s="260">
        <f t="shared" si="14"/>
        <v>0</v>
      </c>
      <c r="AW25" s="260">
        <f t="shared" si="15"/>
        <v>47.5</v>
      </c>
      <c r="AX25" s="368">
        <f t="shared" si="36"/>
        <v>6</v>
      </c>
      <c r="AY25" s="260">
        <f t="shared" si="16"/>
        <v>0</v>
      </c>
      <c r="AZ25" s="368">
        <f>IF(AND($W25&gt;$P$83, SUM($AQ$17:AQ24)&gt;0,SUM($AZ$17:AZ24)&lt;$P$79),$P$82,0)</f>
        <v>64.125</v>
      </c>
      <c r="BA25" s="107">
        <f>IF(SUM($AQ$18:$AQ24)&gt;0,($P$79-SUM($AZ$18:$AZ24))*$F$83,0)</f>
        <v>23.758312499999999</v>
      </c>
      <c r="BB25" s="261">
        <f t="shared" si="37"/>
        <v>141.38331249999999</v>
      </c>
      <c r="BC25" s="263">
        <f t="shared" si="38"/>
        <v>-141.38331249999999</v>
      </c>
      <c r="BD25" s="264">
        <f t="shared" si="17"/>
        <v>-105.04490632604541</v>
      </c>
      <c r="BE25" s="279"/>
      <c r="BF25" s="180">
        <f t="shared" si="39"/>
        <v>0.74297952473029949</v>
      </c>
      <c r="BH25" s="266">
        <f t="shared" si="40"/>
        <v>0</v>
      </c>
      <c r="BI25" s="266">
        <f t="shared" si="40"/>
        <v>0</v>
      </c>
      <c r="BJ25" s="263">
        <f t="shared" si="40"/>
        <v>0</v>
      </c>
      <c r="BK25" s="263">
        <f t="shared" si="40"/>
        <v>47.5</v>
      </c>
      <c r="BL25" s="263">
        <f t="shared" si="41"/>
        <v>0</v>
      </c>
      <c r="BM25" s="260">
        <f t="shared" si="18"/>
        <v>0</v>
      </c>
      <c r="BN25" s="264">
        <f t="shared" si="19"/>
        <v>47.5</v>
      </c>
      <c r="BO25" s="263">
        <f t="shared" si="20"/>
        <v>0</v>
      </c>
      <c r="BP25" s="263">
        <f t="shared" si="21"/>
        <v>47.5</v>
      </c>
      <c r="BQ25" s="263">
        <f t="shared" si="22"/>
        <v>0</v>
      </c>
      <c r="BR25" s="263">
        <f t="shared" si="23"/>
        <v>0</v>
      </c>
      <c r="BS25" s="263">
        <f t="shared" si="24"/>
        <v>0</v>
      </c>
      <c r="BT25" s="107">
        <f t="shared" si="42"/>
        <v>0</v>
      </c>
      <c r="BU25" s="264">
        <f t="shared" si="43"/>
        <v>47.5</v>
      </c>
      <c r="BV25" s="264">
        <f t="shared" si="25"/>
        <v>0</v>
      </c>
      <c r="BW25" s="265"/>
      <c r="BX25" s="361">
        <f t="shared" si="26"/>
        <v>0</v>
      </c>
      <c r="BY25" s="499">
        <f t="shared" si="27"/>
        <v>0</v>
      </c>
    </row>
    <row r="26" spans="1:77" ht="15.75" customHeight="1" x14ac:dyDescent="0.45">
      <c r="B26" s="119"/>
      <c r="C26" s="21" t="s">
        <v>149</v>
      </c>
      <c r="D26" s="191" t="s">
        <v>25</v>
      </c>
      <c r="F26" s="153">
        <v>1.7833999999999999E-2</v>
      </c>
      <c r="V26" s="294">
        <f t="shared" si="28"/>
        <v>49399</v>
      </c>
      <c r="W26" s="366">
        <f t="shared" si="29"/>
        <v>9</v>
      </c>
      <c r="X26" s="366" t="str">
        <f t="shared" si="30"/>
        <v>維持管理・運営期間</v>
      </c>
      <c r="Y26" s="106">
        <f t="shared" si="0"/>
        <v>0</v>
      </c>
      <c r="Z26" s="107">
        <f t="shared" si="1"/>
        <v>0</v>
      </c>
      <c r="AA26" s="107">
        <f t="shared" si="2"/>
        <v>0</v>
      </c>
      <c r="AB26" s="107">
        <f t="shared" si="3"/>
        <v>0</v>
      </c>
      <c r="AC26" s="108">
        <f t="shared" si="31"/>
        <v>0</v>
      </c>
      <c r="AD26" s="106">
        <f t="shared" si="4"/>
        <v>0</v>
      </c>
      <c r="AE26" s="107">
        <f t="shared" si="5"/>
        <v>47.5</v>
      </c>
      <c r="AF26" s="107">
        <f t="shared" si="32"/>
        <v>10</v>
      </c>
      <c r="AG26" s="368">
        <f>IF(AND($W26&gt;$O$83, SUM($AA$17:AA25)&gt;0,SUM($AG$17:AG25)&lt;$O$79),$O$82,0)</f>
        <v>64.125</v>
      </c>
      <c r="AH26" s="107">
        <f>IF(SUM($AA$18:$AA25)&gt;0,($O$79-SUM($AG$18:$AG25))*$F$83,0)</f>
        <v>22.507874999999999</v>
      </c>
      <c r="AI26" s="108">
        <f t="shared" si="33"/>
        <v>144.13287500000001</v>
      </c>
      <c r="AJ26" s="113">
        <f t="shared" si="6"/>
        <v>-144.13287500000001</v>
      </c>
      <c r="AK26" s="115">
        <f t="shared" si="34"/>
        <v>0</v>
      </c>
      <c r="AL26" s="277"/>
      <c r="AM26" s="264">
        <f t="shared" si="7"/>
        <v>-103.1839147354121</v>
      </c>
      <c r="AN26" s="278"/>
      <c r="AO26" s="266">
        <f t="shared" si="8"/>
        <v>0</v>
      </c>
      <c r="AP26" s="263">
        <f t="shared" si="9"/>
        <v>0</v>
      </c>
      <c r="AQ26" s="263">
        <f t="shared" si="10"/>
        <v>0</v>
      </c>
      <c r="AR26" s="260">
        <f t="shared" si="11"/>
        <v>0</v>
      </c>
      <c r="AS26" s="261">
        <f t="shared" si="35"/>
        <v>0</v>
      </c>
      <c r="AT26" s="260">
        <f t="shared" si="12"/>
        <v>0</v>
      </c>
      <c r="AU26" s="260">
        <f t="shared" si="13"/>
        <v>0</v>
      </c>
      <c r="AV26" s="260">
        <f t="shared" si="14"/>
        <v>0</v>
      </c>
      <c r="AW26" s="260">
        <f t="shared" si="15"/>
        <v>47.5</v>
      </c>
      <c r="AX26" s="368">
        <f t="shared" si="36"/>
        <v>6</v>
      </c>
      <c r="AY26" s="260">
        <f t="shared" si="16"/>
        <v>0</v>
      </c>
      <c r="AZ26" s="368">
        <f>IF(AND($W26&gt;$P$83, SUM($AQ$17:AQ25)&gt;0,SUM($AZ$17:AZ25)&lt;$P$79),$P$82,0)</f>
        <v>64.125</v>
      </c>
      <c r="BA26" s="107">
        <f>IF(SUM($AQ$18:$AQ25)&gt;0,($P$79-SUM($AZ$18:$AZ25))*$F$83,0)</f>
        <v>22.507874999999999</v>
      </c>
      <c r="BB26" s="261">
        <f t="shared" si="37"/>
        <v>140.13287500000001</v>
      </c>
      <c r="BC26" s="263">
        <f t="shared" si="38"/>
        <v>-140.13287500000001</v>
      </c>
      <c r="BD26" s="264">
        <f t="shared" si="17"/>
        <v>-100.32033722790975</v>
      </c>
      <c r="BE26" s="279"/>
      <c r="BF26" s="180">
        <f t="shared" si="39"/>
        <v>0.71589437687558855</v>
      </c>
      <c r="BH26" s="266">
        <f t="shared" si="40"/>
        <v>0</v>
      </c>
      <c r="BI26" s="266">
        <f t="shared" si="40"/>
        <v>0</v>
      </c>
      <c r="BJ26" s="263">
        <f t="shared" si="40"/>
        <v>0</v>
      </c>
      <c r="BK26" s="263">
        <f t="shared" si="40"/>
        <v>47.5</v>
      </c>
      <c r="BL26" s="263">
        <f t="shared" si="41"/>
        <v>0</v>
      </c>
      <c r="BM26" s="260">
        <f t="shared" si="18"/>
        <v>0</v>
      </c>
      <c r="BN26" s="264">
        <f t="shared" si="19"/>
        <v>47.5</v>
      </c>
      <c r="BO26" s="263">
        <f t="shared" si="20"/>
        <v>0</v>
      </c>
      <c r="BP26" s="263">
        <f t="shared" si="21"/>
        <v>47.5</v>
      </c>
      <c r="BQ26" s="263">
        <f t="shared" si="22"/>
        <v>0</v>
      </c>
      <c r="BR26" s="263">
        <f t="shared" si="23"/>
        <v>0</v>
      </c>
      <c r="BS26" s="263">
        <f t="shared" si="24"/>
        <v>0</v>
      </c>
      <c r="BT26" s="107">
        <f t="shared" si="42"/>
        <v>0</v>
      </c>
      <c r="BU26" s="264">
        <f t="shared" si="43"/>
        <v>47.5</v>
      </c>
      <c r="BV26" s="264">
        <f t="shared" si="25"/>
        <v>0</v>
      </c>
      <c r="BW26" s="265"/>
      <c r="BX26" s="361">
        <f t="shared" si="26"/>
        <v>0</v>
      </c>
      <c r="BY26" s="499">
        <f t="shared" si="27"/>
        <v>0</v>
      </c>
    </row>
    <row r="27" spans="1:77" ht="13.5" customHeight="1" x14ac:dyDescent="0.45">
      <c r="C27" s="21" t="s">
        <v>58</v>
      </c>
      <c r="D27" s="191" t="s">
        <v>25</v>
      </c>
      <c r="F27" s="384">
        <f>事業費用概算!J33</f>
        <v>1.9999999999999997E-2</v>
      </c>
      <c r="V27" s="294">
        <f t="shared" si="28"/>
        <v>49765</v>
      </c>
      <c r="W27" s="366">
        <f t="shared" si="29"/>
        <v>10</v>
      </c>
      <c r="X27" s="366" t="str">
        <f t="shared" si="30"/>
        <v>維持管理・運営期間</v>
      </c>
      <c r="Y27" s="106">
        <f t="shared" si="0"/>
        <v>0</v>
      </c>
      <c r="Z27" s="107">
        <f t="shared" si="1"/>
        <v>0</v>
      </c>
      <c r="AA27" s="107">
        <f t="shared" si="2"/>
        <v>0</v>
      </c>
      <c r="AB27" s="107">
        <f t="shared" si="3"/>
        <v>0</v>
      </c>
      <c r="AC27" s="108">
        <f t="shared" si="31"/>
        <v>0</v>
      </c>
      <c r="AD27" s="106">
        <f t="shared" si="4"/>
        <v>0</v>
      </c>
      <c r="AE27" s="107">
        <f t="shared" si="5"/>
        <v>47.5</v>
      </c>
      <c r="AF27" s="107">
        <f t="shared" si="32"/>
        <v>10</v>
      </c>
      <c r="AG27" s="368">
        <f>IF(AND($W27&gt;$O$83, SUM($AA$17:AA26)&gt;0,SUM($AG$17:AG26)&lt;$O$79),$O$82,0)</f>
        <v>64.125</v>
      </c>
      <c r="AH27" s="107">
        <f>IF(SUM($AA$18:$AA26)&gt;0,($O$79-SUM($AG$18:$AG26))*$F$83,0)</f>
        <v>21.257437499999998</v>
      </c>
      <c r="AI27" s="108">
        <f t="shared" si="33"/>
        <v>142.88243750000001</v>
      </c>
      <c r="AJ27" s="113">
        <f t="shared" si="6"/>
        <v>-142.88243750000001</v>
      </c>
      <c r="AK27" s="115">
        <f t="shared" si="34"/>
        <v>0</v>
      </c>
      <c r="AL27" s="277"/>
      <c r="AM27" s="264">
        <f t="shared" si="7"/>
        <v>-98.559821282139282</v>
      </c>
      <c r="AN27" s="278"/>
      <c r="AO27" s="266">
        <f t="shared" si="8"/>
        <v>0</v>
      </c>
      <c r="AP27" s="263">
        <f t="shared" si="9"/>
        <v>0</v>
      </c>
      <c r="AQ27" s="263">
        <f t="shared" si="10"/>
        <v>0</v>
      </c>
      <c r="AR27" s="260">
        <f t="shared" si="11"/>
        <v>0</v>
      </c>
      <c r="AS27" s="261">
        <f t="shared" si="35"/>
        <v>0</v>
      </c>
      <c r="AT27" s="260">
        <f t="shared" si="12"/>
        <v>0</v>
      </c>
      <c r="AU27" s="260">
        <f t="shared" si="13"/>
        <v>0</v>
      </c>
      <c r="AV27" s="260">
        <f t="shared" si="14"/>
        <v>0</v>
      </c>
      <c r="AW27" s="260">
        <f t="shared" si="15"/>
        <v>47.5</v>
      </c>
      <c r="AX27" s="368">
        <f t="shared" si="36"/>
        <v>6</v>
      </c>
      <c r="AY27" s="260">
        <f t="shared" si="16"/>
        <v>0</v>
      </c>
      <c r="AZ27" s="368">
        <f>IF(AND($W27&gt;$P$83, SUM($AQ$17:AQ26)&gt;0,SUM($AZ$17:AZ26)&lt;$P$79),$P$82,0)</f>
        <v>64.125</v>
      </c>
      <c r="BA27" s="107">
        <f>IF(SUM($AQ$18:$AQ26)&gt;0,($P$79-SUM($AZ$18:$AZ26))*$F$83,0)</f>
        <v>21.257437499999998</v>
      </c>
      <c r="BB27" s="261">
        <f t="shared" si="37"/>
        <v>138.88243750000001</v>
      </c>
      <c r="BC27" s="263">
        <f t="shared" si="38"/>
        <v>-138.88243750000001</v>
      </c>
      <c r="BD27" s="264">
        <f t="shared" si="17"/>
        <v>-95.800634834689731</v>
      </c>
      <c r="BE27" s="279"/>
      <c r="BF27" s="180">
        <f t="shared" si="39"/>
        <v>0.68979661186238705</v>
      </c>
      <c r="BH27" s="266">
        <f t="shared" si="40"/>
        <v>0</v>
      </c>
      <c r="BI27" s="266">
        <f t="shared" si="40"/>
        <v>0</v>
      </c>
      <c r="BJ27" s="263">
        <f t="shared" si="40"/>
        <v>0</v>
      </c>
      <c r="BK27" s="263">
        <f t="shared" si="40"/>
        <v>47.5</v>
      </c>
      <c r="BL27" s="263">
        <f t="shared" si="41"/>
        <v>0</v>
      </c>
      <c r="BM27" s="260">
        <f t="shared" si="18"/>
        <v>0</v>
      </c>
      <c r="BN27" s="264">
        <f t="shared" si="19"/>
        <v>47.5</v>
      </c>
      <c r="BO27" s="263">
        <f t="shared" si="20"/>
        <v>0</v>
      </c>
      <c r="BP27" s="263">
        <f t="shared" si="21"/>
        <v>47.5</v>
      </c>
      <c r="BQ27" s="263">
        <f t="shared" si="22"/>
        <v>0</v>
      </c>
      <c r="BR27" s="263">
        <f t="shared" si="23"/>
        <v>0</v>
      </c>
      <c r="BS27" s="263">
        <f t="shared" si="24"/>
        <v>0</v>
      </c>
      <c r="BT27" s="107">
        <f t="shared" si="42"/>
        <v>0</v>
      </c>
      <c r="BU27" s="264">
        <f t="shared" si="43"/>
        <v>47.5</v>
      </c>
      <c r="BV27" s="264">
        <f t="shared" si="25"/>
        <v>0</v>
      </c>
      <c r="BW27" s="265"/>
      <c r="BX27" s="361">
        <f t="shared" si="26"/>
        <v>0</v>
      </c>
      <c r="BY27" s="499">
        <f t="shared" si="27"/>
        <v>0</v>
      </c>
    </row>
    <row r="28" spans="1:77" ht="13.5" customHeight="1" x14ac:dyDescent="0.45">
      <c r="F28" s="385"/>
      <c r="V28" s="294">
        <f t="shared" si="28"/>
        <v>50130</v>
      </c>
      <c r="W28" s="366">
        <f t="shared" si="29"/>
        <v>11</v>
      </c>
      <c r="X28" s="366" t="str">
        <f t="shared" si="30"/>
        <v>維持管理・運営期間</v>
      </c>
      <c r="Y28" s="106">
        <f t="shared" si="0"/>
        <v>0</v>
      </c>
      <c r="Z28" s="107">
        <f t="shared" si="1"/>
        <v>0</v>
      </c>
      <c r="AA28" s="107">
        <f t="shared" si="2"/>
        <v>0</v>
      </c>
      <c r="AB28" s="107">
        <f t="shared" si="3"/>
        <v>0</v>
      </c>
      <c r="AC28" s="108">
        <f t="shared" si="31"/>
        <v>0</v>
      </c>
      <c r="AD28" s="106">
        <f t="shared" si="4"/>
        <v>0</v>
      </c>
      <c r="AE28" s="107">
        <f t="shared" si="5"/>
        <v>47.5</v>
      </c>
      <c r="AF28" s="107">
        <f t="shared" si="32"/>
        <v>10</v>
      </c>
      <c r="AG28" s="368">
        <f>IF(AND($W28&gt;$O$83, SUM($AA$17:AA27)&gt;0,SUM($AG$17:AG27)&lt;$O$79),$O$82,0)</f>
        <v>64.125</v>
      </c>
      <c r="AH28" s="107">
        <f>IF(SUM($AA$18:$AA27)&gt;0,($O$79-SUM($AG$18:$AG27))*$F$83,0)</f>
        <v>20.007000000000001</v>
      </c>
      <c r="AI28" s="108">
        <f t="shared" si="33"/>
        <v>141.63200000000001</v>
      </c>
      <c r="AJ28" s="113">
        <f t="shared" si="6"/>
        <v>-141.63200000000001</v>
      </c>
      <c r="AK28" s="115">
        <f t="shared" si="34"/>
        <v>0</v>
      </c>
      <c r="AL28" s="277"/>
      <c r="AM28" s="264">
        <f t="shared" si="7"/>
        <v>-94.135742065969723</v>
      </c>
      <c r="AN28" s="278"/>
      <c r="AO28" s="266">
        <f t="shared" si="8"/>
        <v>0</v>
      </c>
      <c r="AP28" s="263">
        <f t="shared" si="9"/>
        <v>0</v>
      </c>
      <c r="AQ28" s="263">
        <f t="shared" si="10"/>
        <v>0</v>
      </c>
      <c r="AR28" s="260">
        <f t="shared" si="11"/>
        <v>0</v>
      </c>
      <c r="AS28" s="261">
        <f t="shared" si="35"/>
        <v>0</v>
      </c>
      <c r="AT28" s="260">
        <f t="shared" si="12"/>
        <v>0</v>
      </c>
      <c r="AU28" s="260">
        <f t="shared" si="13"/>
        <v>0</v>
      </c>
      <c r="AV28" s="260">
        <f t="shared" si="14"/>
        <v>0</v>
      </c>
      <c r="AW28" s="260">
        <f t="shared" si="15"/>
        <v>47.5</v>
      </c>
      <c r="AX28" s="368">
        <f t="shared" si="36"/>
        <v>6</v>
      </c>
      <c r="AY28" s="260">
        <f t="shared" si="16"/>
        <v>0</v>
      </c>
      <c r="AZ28" s="368">
        <f>IF(AND($W28&gt;$P$83, SUM($AQ$17:AQ27)&gt;0,SUM($AZ$17:AZ27)&lt;$P$79),$P$82,0)</f>
        <v>64.125</v>
      </c>
      <c r="BA28" s="107">
        <f>IF(SUM($AQ$18:$AQ27)&gt;0,($P$79-SUM($AZ$18:$AZ27))*$F$83,0)</f>
        <v>20.007000000000001</v>
      </c>
      <c r="BB28" s="261">
        <f t="shared" si="37"/>
        <v>137.63200000000001</v>
      </c>
      <c r="BC28" s="263">
        <f t="shared" si="38"/>
        <v>-137.63200000000001</v>
      </c>
      <c r="BD28" s="264">
        <f t="shared" si="17"/>
        <v>-91.477141126465384</v>
      </c>
      <c r="BE28" s="279"/>
      <c r="BF28" s="180">
        <f t="shared" si="39"/>
        <v>0.66465023487608532</v>
      </c>
      <c r="BH28" s="266">
        <f t="shared" si="40"/>
        <v>0</v>
      </c>
      <c r="BI28" s="266">
        <f t="shared" si="40"/>
        <v>0</v>
      </c>
      <c r="BJ28" s="263">
        <f t="shared" si="40"/>
        <v>0</v>
      </c>
      <c r="BK28" s="263">
        <f t="shared" si="40"/>
        <v>47.5</v>
      </c>
      <c r="BL28" s="263">
        <f t="shared" si="41"/>
        <v>0</v>
      </c>
      <c r="BM28" s="260">
        <f t="shared" si="18"/>
        <v>0</v>
      </c>
      <c r="BN28" s="264">
        <f t="shared" si="19"/>
        <v>47.5</v>
      </c>
      <c r="BO28" s="263">
        <f t="shared" si="20"/>
        <v>0</v>
      </c>
      <c r="BP28" s="263">
        <f t="shared" si="21"/>
        <v>47.5</v>
      </c>
      <c r="BQ28" s="263">
        <f t="shared" si="22"/>
        <v>0</v>
      </c>
      <c r="BR28" s="263">
        <f t="shared" si="23"/>
        <v>0</v>
      </c>
      <c r="BS28" s="263">
        <f t="shared" si="24"/>
        <v>0</v>
      </c>
      <c r="BT28" s="107">
        <f t="shared" si="42"/>
        <v>0</v>
      </c>
      <c r="BU28" s="264">
        <f t="shared" si="43"/>
        <v>47.5</v>
      </c>
      <c r="BV28" s="264">
        <f t="shared" si="25"/>
        <v>0</v>
      </c>
      <c r="BW28" s="265"/>
      <c r="BX28" s="361">
        <f t="shared" si="26"/>
        <v>0</v>
      </c>
      <c r="BY28" s="499">
        <f t="shared" si="27"/>
        <v>0</v>
      </c>
    </row>
    <row r="29" spans="1:77" ht="13.5" customHeight="1" thickBot="1" x14ac:dyDescent="0.35">
      <c r="A29" s="210" t="s">
        <v>17</v>
      </c>
      <c r="B29" s="225"/>
      <c r="C29" s="202"/>
      <c r="D29" s="203"/>
      <c r="E29" s="202"/>
      <c r="F29" s="202"/>
      <c r="G29" s="202"/>
      <c r="H29" s="204"/>
      <c r="I29" s="219" t="s">
        <v>150</v>
      </c>
      <c r="J29" s="225"/>
      <c r="K29" s="338"/>
      <c r="L29" s="202"/>
      <c r="M29" s="202"/>
      <c r="N29" s="203"/>
      <c r="O29" s="202"/>
      <c r="P29" s="202"/>
      <c r="Q29" s="202"/>
      <c r="R29" s="202"/>
      <c r="S29" s="202"/>
      <c r="T29" s="203"/>
      <c r="U29" s="202"/>
      <c r="V29" s="294">
        <f t="shared" si="28"/>
        <v>50495</v>
      </c>
      <c r="W29" s="366">
        <f t="shared" si="29"/>
        <v>12</v>
      </c>
      <c r="X29" s="366" t="str">
        <f t="shared" si="30"/>
        <v>維持管理・運営期間</v>
      </c>
      <c r="Y29" s="106">
        <f t="shared" si="0"/>
        <v>0</v>
      </c>
      <c r="Z29" s="107">
        <f t="shared" si="1"/>
        <v>0</v>
      </c>
      <c r="AA29" s="107">
        <f t="shared" si="2"/>
        <v>0</v>
      </c>
      <c r="AB29" s="107">
        <f t="shared" si="3"/>
        <v>0</v>
      </c>
      <c r="AC29" s="108">
        <f t="shared" si="31"/>
        <v>0</v>
      </c>
      <c r="AD29" s="106">
        <f t="shared" si="4"/>
        <v>0</v>
      </c>
      <c r="AE29" s="107">
        <f t="shared" si="5"/>
        <v>47.5</v>
      </c>
      <c r="AF29" s="107">
        <f t="shared" si="32"/>
        <v>10</v>
      </c>
      <c r="AG29" s="368">
        <f>IF(AND($W29&gt;$O$83, SUM($AA$17:AA28)&gt;0,SUM($AG$17:AG28)&lt;$O$79),$O$82,0)</f>
        <v>64.125</v>
      </c>
      <c r="AH29" s="107">
        <f>IF(SUM($AA$18:$AA28)&gt;0,($O$79-SUM($AG$18:$AG28))*$F$83,0)</f>
        <v>18.756562500000001</v>
      </c>
      <c r="AI29" s="108">
        <f t="shared" si="33"/>
        <v>140.3815625</v>
      </c>
      <c r="AJ29" s="113">
        <f t="shared" si="6"/>
        <v>-140.3815625</v>
      </c>
      <c r="AK29" s="115">
        <f t="shared" si="34"/>
        <v>0</v>
      </c>
      <c r="AL29" s="277"/>
      <c r="AM29" s="264">
        <f t="shared" si="7"/>
        <v>-89.903239331046052</v>
      </c>
      <c r="AN29" s="278"/>
      <c r="AO29" s="266">
        <f t="shared" si="8"/>
        <v>0</v>
      </c>
      <c r="AP29" s="263">
        <f t="shared" si="9"/>
        <v>0</v>
      </c>
      <c r="AQ29" s="263">
        <f t="shared" si="10"/>
        <v>0</v>
      </c>
      <c r="AR29" s="260">
        <f t="shared" si="11"/>
        <v>0</v>
      </c>
      <c r="AS29" s="261">
        <f t="shared" si="35"/>
        <v>0</v>
      </c>
      <c r="AT29" s="260">
        <f t="shared" si="12"/>
        <v>0</v>
      </c>
      <c r="AU29" s="260">
        <f t="shared" si="13"/>
        <v>0</v>
      </c>
      <c r="AV29" s="260">
        <f t="shared" si="14"/>
        <v>0</v>
      </c>
      <c r="AW29" s="260">
        <f t="shared" si="15"/>
        <v>47.5</v>
      </c>
      <c r="AX29" s="368">
        <f t="shared" si="36"/>
        <v>6</v>
      </c>
      <c r="AY29" s="260">
        <f t="shared" si="16"/>
        <v>0</v>
      </c>
      <c r="AZ29" s="368">
        <f>IF(AND($W29&gt;$P$83, SUM($AQ$17:AQ28)&gt;0,SUM($AZ$17:AZ28)&lt;$P$79),$P$82,0)</f>
        <v>64.125</v>
      </c>
      <c r="BA29" s="107">
        <f>IF(SUM($AQ$18:$AQ28)&gt;0,($P$79-SUM($AZ$18:$AZ28))*$F$83,0)</f>
        <v>18.756562500000001</v>
      </c>
      <c r="BB29" s="261">
        <f t="shared" si="37"/>
        <v>136.3815625</v>
      </c>
      <c r="BC29" s="263">
        <f t="shared" si="38"/>
        <v>-136.3815625</v>
      </c>
      <c r="BD29" s="264">
        <f t="shared" si="17"/>
        <v>-87.341557077906984</v>
      </c>
      <c r="BE29" s="279"/>
      <c r="BF29" s="180">
        <f t="shared" si="39"/>
        <v>0.64042056328476937</v>
      </c>
      <c r="BH29" s="266">
        <f t="shared" si="40"/>
        <v>0</v>
      </c>
      <c r="BI29" s="266">
        <f t="shared" si="40"/>
        <v>0</v>
      </c>
      <c r="BJ29" s="263">
        <f t="shared" si="40"/>
        <v>0</v>
      </c>
      <c r="BK29" s="263">
        <f t="shared" si="40"/>
        <v>47.5</v>
      </c>
      <c r="BL29" s="263">
        <f t="shared" si="41"/>
        <v>0</v>
      </c>
      <c r="BM29" s="260">
        <f t="shared" si="18"/>
        <v>0</v>
      </c>
      <c r="BN29" s="264">
        <f t="shared" si="19"/>
        <v>47.5</v>
      </c>
      <c r="BO29" s="263">
        <f t="shared" si="20"/>
        <v>0</v>
      </c>
      <c r="BP29" s="263">
        <f t="shared" si="21"/>
        <v>47.5</v>
      </c>
      <c r="BQ29" s="263">
        <f t="shared" si="22"/>
        <v>0</v>
      </c>
      <c r="BR29" s="263">
        <f t="shared" si="23"/>
        <v>0</v>
      </c>
      <c r="BS29" s="263">
        <f t="shared" si="24"/>
        <v>0</v>
      </c>
      <c r="BT29" s="107">
        <f t="shared" si="42"/>
        <v>0</v>
      </c>
      <c r="BU29" s="264">
        <f t="shared" si="43"/>
        <v>47.5</v>
      </c>
      <c r="BV29" s="264">
        <f t="shared" si="25"/>
        <v>0</v>
      </c>
      <c r="BW29" s="265"/>
      <c r="BX29" s="361">
        <f t="shared" si="26"/>
        <v>0</v>
      </c>
      <c r="BY29" s="499">
        <f t="shared" si="27"/>
        <v>0</v>
      </c>
    </row>
    <row r="30" spans="1:77" ht="15.75" customHeight="1" x14ac:dyDescent="0.3">
      <c r="A30" s="35"/>
      <c r="H30" s="120"/>
      <c r="I30" s="332"/>
      <c r="J30" s="35"/>
      <c r="V30" s="294">
        <f t="shared" si="28"/>
        <v>50860</v>
      </c>
      <c r="W30" s="366">
        <f t="shared" si="29"/>
        <v>13</v>
      </c>
      <c r="X30" s="366" t="str">
        <f t="shared" si="30"/>
        <v>維持管理・運営期間</v>
      </c>
      <c r="Y30" s="106">
        <f t="shared" si="0"/>
        <v>0</v>
      </c>
      <c r="Z30" s="107">
        <f t="shared" si="1"/>
        <v>0</v>
      </c>
      <c r="AA30" s="107">
        <f t="shared" si="2"/>
        <v>0</v>
      </c>
      <c r="AB30" s="107">
        <f t="shared" si="3"/>
        <v>0</v>
      </c>
      <c r="AC30" s="108">
        <f t="shared" si="31"/>
        <v>0</v>
      </c>
      <c r="AD30" s="106">
        <f t="shared" si="4"/>
        <v>0</v>
      </c>
      <c r="AE30" s="107">
        <f t="shared" si="5"/>
        <v>47.5</v>
      </c>
      <c r="AF30" s="107">
        <f t="shared" si="32"/>
        <v>10</v>
      </c>
      <c r="AG30" s="368">
        <f>IF(AND($W30&gt;$O$83, SUM($AA$17:AA29)&gt;0,SUM($AG$17:AG29)&lt;$O$79),$O$82,0)</f>
        <v>64.125</v>
      </c>
      <c r="AH30" s="107">
        <f>IF(SUM($AA$18:$AA29)&gt;0,($O$79-SUM($AG$18:$AG29))*$F$83,0)</f>
        <v>17.506125000000001</v>
      </c>
      <c r="AI30" s="108">
        <f t="shared" si="33"/>
        <v>139.131125</v>
      </c>
      <c r="AJ30" s="113">
        <f t="shared" si="6"/>
        <v>-139.131125</v>
      </c>
      <c r="AK30" s="115">
        <f t="shared" si="34"/>
        <v>0</v>
      </c>
      <c r="AL30" s="277"/>
      <c r="AM30" s="264">
        <f t="shared" si="7"/>
        <v>-85.854224705438114</v>
      </c>
      <c r="AN30" s="278"/>
      <c r="AO30" s="266">
        <f t="shared" si="8"/>
        <v>0</v>
      </c>
      <c r="AP30" s="263">
        <f t="shared" si="9"/>
        <v>0</v>
      </c>
      <c r="AQ30" s="263">
        <f t="shared" si="10"/>
        <v>0</v>
      </c>
      <c r="AR30" s="260">
        <f t="shared" si="11"/>
        <v>0</v>
      </c>
      <c r="AS30" s="261">
        <f t="shared" si="35"/>
        <v>0</v>
      </c>
      <c r="AT30" s="260">
        <f t="shared" si="12"/>
        <v>0</v>
      </c>
      <c r="AU30" s="260">
        <f t="shared" si="13"/>
        <v>0</v>
      </c>
      <c r="AV30" s="260">
        <f t="shared" si="14"/>
        <v>0</v>
      </c>
      <c r="AW30" s="260">
        <f t="shared" si="15"/>
        <v>47.5</v>
      </c>
      <c r="AX30" s="368">
        <f t="shared" si="36"/>
        <v>6</v>
      </c>
      <c r="AY30" s="260">
        <f t="shared" si="16"/>
        <v>0</v>
      </c>
      <c r="AZ30" s="368">
        <f>IF(AND($W30&gt;$P$83, SUM($AQ$17:AQ29)&gt;0,SUM($AZ$17:AZ29)&lt;$P$79),$P$82,0)</f>
        <v>64.125</v>
      </c>
      <c r="BA30" s="107">
        <f>IF(SUM($AQ$18:$AQ29)&gt;0,($P$79-SUM($AZ$18:$AZ29))*$F$83,0)</f>
        <v>17.506125000000001</v>
      </c>
      <c r="BB30" s="261">
        <f t="shared" si="37"/>
        <v>135.131125</v>
      </c>
      <c r="BC30" s="263">
        <f t="shared" si="38"/>
        <v>-135.131125</v>
      </c>
      <c r="BD30" s="264">
        <f t="shared" si="17"/>
        <v>-83.385927990222513</v>
      </c>
      <c r="BE30" s="279"/>
      <c r="BF30" s="180">
        <f t="shared" si="39"/>
        <v>0.61707417880390258</v>
      </c>
      <c r="BH30" s="266">
        <f t="shared" si="40"/>
        <v>0</v>
      </c>
      <c r="BI30" s="266">
        <f t="shared" si="40"/>
        <v>0</v>
      </c>
      <c r="BJ30" s="263">
        <f t="shared" si="40"/>
        <v>0</v>
      </c>
      <c r="BK30" s="263">
        <f t="shared" si="40"/>
        <v>47.5</v>
      </c>
      <c r="BL30" s="263">
        <f t="shared" si="41"/>
        <v>0</v>
      </c>
      <c r="BM30" s="260">
        <f t="shared" si="18"/>
        <v>0</v>
      </c>
      <c r="BN30" s="264">
        <f t="shared" si="19"/>
        <v>47.5</v>
      </c>
      <c r="BO30" s="263">
        <f t="shared" si="20"/>
        <v>0</v>
      </c>
      <c r="BP30" s="263">
        <f t="shared" si="21"/>
        <v>47.5</v>
      </c>
      <c r="BQ30" s="263">
        <f t="shared" si="22"/>
        <v>0</v>
      </c>
      <c r="BR30" s="263">
        <f t="shared" si="23"/>
        <v>0</v>
      </c>
      <c r="BS30" s="263">
        <f t="shared" si="24"/>
        <v>0</v>
      </c>
      <c r="BT30" s="107">
        <f t="shared" si="42"/>
        <v>0</v>
      </c>
      <c r="BU30" s="264">
        <f t="shared" si="43"/>
        <v>47.5</v>
      </c>
      <c r="BV30" s="264">
        <f t="shared" si="25"/>
        <v>0</v>
      </c>
      <c r="BW30" s="265"/>
      <c r="BX30" s="361">
        <f t="shared" si="26"/>
        <v>0</v>
      </c>
      <c r="BY30" s="499">
        <f t="shared" si="27"/>
        <v>0</v>
      </c>
    </row>
    <row r="31" spans="1:77" ht="15.75" customHeight="1" x14ac:dyDescent="0.3">
      <c r="A31" s="35"/>
      <c r="B31" s="223" t="s">
        <v>151</v>
      </c>
      <c r="E31" s="21" t="s">
        <v>55</v>
      </c>
      <c r="F31" s="21" t="s">
        <v>98</v>
      </c>
      <c r="I31" s="214"/>
      <c r="J31" s="223" t="s">
        <v>151</v>
      </c>
      <c r="O31" s="21" t="s">
        <v>55</v>
      </c>
      <c r="P31" s="21" t="s">
        <v>98</v>
      </c>
      <c r="V31" s="294">
        <f t="shared" si="28"/>
        <v>51226</v>
      </c>
      <c r="W31" s="366">
        <f t="shared" si="29"/>
        <v>14</v>
      </c>
      <c r="X31" s="366" t="str">
        <f t="shared" si="30"/>
        <v>維持管理・運営期間</v>
      </c>
      <c r="Y31" s="106">
        <f t="shared" si="0"/>
        <v>0</v>
      </c>
      <c r="Z31" s="107">
        <f t="shared" si="1"/>
        <v>0</v>
      </c>
      <c r="AA31" s="107">
        <f t="shared" si="2"/>
        <v>0</v>
      </c>
      <c r="AB31" s="107">
        <f t="shared" si="3"/>
        <v>0</v>
      </c>
      <c r="AC31" s="108">
        <f t="shared" si="31"/>
        <v>0</v>
      </c>
      <c r="AD31" s="106">
        <f t="shared" si="4"/>
        <v>0</v>
      </c>
      <c r="AE31" s="107">
        <f t="shared" si="5"/>
        <v>47.5</v>
      </c>
      <c r="AF31" s="107">
        <f t="shared" si="32"/>
        <v>10</v>
      </c>
      <c r="AG31" s="368">
        <f>IF(AND($W31&gt;$O$83, SUM($AA$17:AA30)&gt;0,SUM($AG$17:AG30)&lt;$O$79),$O$82,0)</f>
        <v>64.125</v>
      </c>
      <c r="AH31" s="107">
        <f>IF(SUM($AA$18:$AA30)&gt;0,($O$79-SUM($AG$18:$AG30))*$F$83,0)</f>
        <v>16.255687500000001</v>
      </c>
      <c r="AI31" s="108">
        <f t="shared" si="33"/>
        <v>137.88068749999999</v>
      </c>
      <c r="AJ31" s="113">
        <f t="shared" si="6"/>
        <v>-137.88068749999999</v>
      </c>
      <c r="AK31" s="115">
        <f t="shared" si="34"/>
        <v>0</v>
      </c>
      <c r="AL31" s="277"/>
      <c r="AM31" s="264">
        <f t="shared" si="7"/>
        <v>-81.980944941079215</v>
      </c>
      <c r="AN31" s="278"/>
      <c r="AO31" s="266">
        <f t="shared" si="8"/>
        <v>0</v>
      </c>
      <c r="AP31" s="263">
        <f t="shared" si="9"/>
        <v>0</v>
      </c>
      <c r="AQ31" s="263">
        <f t="shared" si="10"/>
        <v>0</v>
      </c>
      <c r="AR31" s="260">
        <f t="shared" si="11"/>
        <v>0</v>
      </c>
      <c r="AS31" s="261">
        <f t="shared" si="35"/>
        <v>0</v>
      </c>
      <c r="AT31" s="260">
        <f t="shared" si="12"/>
        <v>0</v>
      </c>
      <c r="AU31" s="260">
        <f t="shared" si="13"/>
        <v>0</v>
      </c>
      <c r="AV31" s="260">
        <f t="shared" si="14"/>
        <v>0</v>
      </c>
      <c r="AW31" s="260">
        <f t="shared" si="15"/>
        <v>47.5</v>
      </c>
      <c r="AX31" s="368">
        <f t="shared" si="36"/>
        <v>6</v>
      </c>
      <c r="AY31" s="260">
        <f t="shared" si="16"/>
        <v>0</v>
      </c>
      <c r="AZ31" s="368">
        <f>IF(AND($W31&gt;$P$83, SUM($AQ$17:AQ30)&gt;0,SUM($AZ$17:AZ30)&lt;$P$79),$P$82,0)</f>
        <v>64.125</v>
      </c>
      <c r="BA31" s="107">
        <f>IF(SUM($AQ$18:$AQ30)&gt;0,($P$79-SUM($AZ$18:$AZ30))*$F$83,0)</f>
        <v>16.255687500000001</v>
      </c>
      <c r="BB31" s="261">
        <f t="shared" si="37"/>
        <v>133.88068749999999</v>
      </c>
      <c r="BC31" s="263">
        <f t="shared" si="38"/>
        <v>-133.88068749999999</v>
      </c>
      <c r="BD31" s="264">
        <f t="shared" si="17"/>
        <v>-79.602629415459887</v>
      </c>
      <c r="BE31" s="279"/>
      <c r="BF31" s="180">
        <f t="shared" si="39"/>
        <v>0.59457888140483217</v>
      </c>
      <c r="BH31" s="266">
        <f t="shared" si="40"/>
        <v>0</v>
      </c>
      <c r="BI31" s="266">
        <f t="shared" si="40"/>
        <v>0</v>
      </c>
      <c r="BJ31" s="263">
        <f t="shared" si="40"/>
        <v>0</v>
      </c>
      <c r="BK31" s="263">
        <f t="shared" si="40"/>
        <v>47.5</v>
      </c>
      <c r="BL31" s="263">
        <f t="shared" si="41"/>
        <v>0</v>
      </c>
      <c r="BM31" s="260">
        <f t="shared" si="18"/>
        <v>0</v>
      </c>
      <c r="BN31" s="264">
        <f t="shared" si="19"/>
        <v>47.5</v>
      </c>
      <c r="BO31" s="263">
        <f t="shared" si="20"/>
        <v>0</v>
      </c>
      <c r="BP31" s="263">
        <f t="shared" si="21"/>
        <v>47.5</v>
      </c>
      <c r="BQ31" s="263">
        <f t="shared" si="22"/>
        <v>0</v>
      </c>
      <c r="BR31" s="263">
        <f t="shared" si="23"/>
        <v>0</v>
      </c>
      <c r="BS31" s="263">
        <f t="shared" si="24"/>
        <v>0</v>
      </c>
      <c r="BT31" s="107">
        <f t="shared" si="42"/>
        <v>0</v>
      </c>
      <c r="BU31" s="264">
        <f t="shared" si="43"/>
        <v>47.5</v>
      </c>
      <c r="BV31" s="264">
        <f t="shared" si="25"/>
        <v>0</v>
      </c>
      <c r="BW31" s="265"/>
      <c r="BX31" s="361">
        <f t="shared" si="26"/>
        <v>0</v>
      </c>
      <c r="BY31" s="499">
        <f t="shared" si="27"/>
        <v>0</v>
      </c>
    </row>
    <row r="32" spans="1:77" ht="15.75" customHeight="1" x14ac:dyDescent="0.45">
      <c r="C32" s="21" t="s">
        <v>153</v>
      </c>
      <c r="D32" s="191" t="s">
        <v>21</v>
      </c>
      <c r="E32" s="311">
        <f>事業費用概算!G6</f>
        <v>0</v>
      </c>
      <c r="F32" s="178">
        <f>E32</f>
        <v>0</v>
      </c>
      <c r="K32" s="21" t="s">
        <v>154</v>
      </c>
      <c r="N32" s="191" t="s">
        <v>21</v>
      </c>
      <c r="O32" s="168">
        <f>E33*$F$65+E32</f>
        <v>2850</v>
      </c>
      <c r="P32" s="168">
        <f>SUM(F32:F33)*(1-F66)</f>
        <v>2850</v>
      </c>
      <c r="Q32" s="21" t="s">
        <v>155</v>
      </c>
      <c r="V32" s="294">
        <f t="shared" si="28"/>
        <v>51591</v>
      </c>
      <c r="W32" s="366">
        <f t="shared" si="29"/>
        <v>15</v>
      </c>
      <c r="X32" s="366" t="str">
        <f t="shared" si="30"/>
        <v>維持管理・運営期間</v>
      </c>
      <c r="Y32" s="106">
        <f t="shared" si="0"/>
        <v>0</v>
      </c>
      <c r="Z32" s="107">
        <f t="shared" si="1"/>
        <v>0</v>
      </c>
      <c r="AA32" s="107">
        <f t="shared" si="2"/>
        <v>0</v>
      </c>
      <c r="AB32" s="107">
        <f t="shared" si="3"/>
        <v>0</v>
      </c>
      <c r="AC32" s="108">
        <f t="shared" si="31"/>
        <v>0</v>
      </c>
      <c r="AD32" s="106">
        <f t="shared" si="4"/>
        <v>0</v>
      </c>
      <c r="AE32" s="107">
        <f t="shared" si="5"/>
        <v>47.5</v>
      </c>
      <c r="AF32" s="107">
        <f t="shared" si="32"/>
        <v>10</v>
      </c>
      <c r="AG32" s="368">
        <f>IF(AND($W32&gt;$O$83, SUM($AA$17:AA31)&gt;0,SUM($AG$17:AG31)&lt;$O$79),$O$82,0)</f>
        <v>64.125</v>
      </c>
      <c r="AH32" s="107">
        <f>IF(SUM($AA$18:$AA31)&gt;0,($O$79-SUM($AG$18:$AG31))*$F$83,0)</f>
        <v>15.00525</v>
      </c>
      <c r="AI32" s="108">
        <f t="shared" si="33"/>
        <v>136.63024999999999</v>
      </c>
      <c r="AJ32" s="113">
        <f t="shared" si="6"/>
        <v>-136.63024999999999</v>
      </c>
      <c r="AK32" s="115">
        <f t="shared" si="34"/>
        <v>0</v>
      </c>
      <c r="AL32" s="277"/>
      <c r="AM32" s="264">
        <f t="shared" si="7"/>
        <v>-78.275968229083432</v>
      </c>
      <c r="AN32" s="278"/>
      <c r="AO32" s="266">
        <f t="shared" si="8"/>
        <v>0</v>
      </c>
      <c r="AP32" s="263">
        <f t="shared" si="9"/>
        <v>0</v>
      </c>
      <c r="AQ32" s="263">
        <f t="shared" si="10"/>
        <v>0</v>
      </c>
      <c r="AR32" s="260">
        <f t="shared" si="11"/>
        <v>0</v>
      </c>
      <c r="AS32" s="261">
        <f t="shared" si="35"/>
        <v>0</v>
      </c>
      <c r="AT32" s="260">
        <f t="shared" si="12"/>
        <v>0</v>
      </c>
      <c r="AU32" s="260">
        <f t="shared" si="13"/>
        <v>0</v>
      </c>
      <c r="AV32" s="260">
        <f t="shared" si="14"/>
        <v>0</v>
      </c>
      <c r="AW32" s="260">
        <f t="shared" si="15"/>
        <v>47.5</v>
      </c>
      <c r="AX32" s="368">
        <f t="shared" si="36"/>
        <v>6</v>
      </c>
      <c r="AY32" s="260">
        <f t="shared" si="16"/>
        <v>0</v>
      </c>
      <c r="AZ32" s="368">
        <f>IF(AND($W32&gt;$P$83, SUM($AQ$17:AQ31)&gt;0,SUM($AZ$17:AZ31)&lt;$P$79),$P$82,0)</f>
        <v>64.125</v>
      </c>
      <c r="BA32" s="107">
        <f>IF(SUM($AQ$18:$AQ31)&gt;0,($P$79-SUM($AZ$18:$AZ31))*$F$83,0)</f>
        <v>15.00525</v>
      </c>
      <c r="BB32" s="261">
        <f t="shared" si="37"/>
        <v>132.63024999999999</v>
      </c>
      <c r="BC32" s="263">
        <f t="shared" si="38"/>
        <v>-132.63024999999999</v>
      </c>
      <c r="BD32" s="264">
        <f t="shared" si="17"/>
        <v>-75.984353649469227</v>
      </c>
      <c r="BE32" s="279"/>
      <c r="BF32" s="180">
        <f t="shared" si="39"/>
        <v>0.57290364490355128</v>
      </c>
      <c r="BH32" s="266">
        <f t="shared" si="40"/>
        <v>0</v>
      </c>
      <c r="BI32" s="266">
        <f t="shared" si="40"/>
        <v>0</v>
      </c>
      <c r="BJ32" s="263">
        <f t="shared" si="40"/>
        <v>0</v>
      </c>
      <c r="BK32" s="263">
        <f t="shared" si="40"/>
        <v>47.5</v>
      </c>
      <c r="BL32" s="263">
        <f t="shared" si="41"/>
        <v>0</v>
      </c>
      <c r="BM32" s="260">
        <f t="shared" si="18"/>
        <v>0</v>
      </c>
      <c r="BN32" s="264">
        <f t="shared" si="19"/>
        <v>47.5</v>
      </c>
      <c r="BO32" s="263">
        <f t="shared" si="20"/>
        <v>0</v>
      </c>
      <c r="BP32" s="263">
        <f t="shared" si="21"/>
        <v>47.5</v>
      </c>
      <c r="BQ32" s="263">
        <f t="shared" si="22"/>
        <v>0</v>
      </c>
      <c r="BR32" s="263">
        <f t="shared" si="23"/>
        <v>0</v>
      </c>
      <c r="BS32" s="263">
        <f t="shared" si="24"/>
        <v>0</v>
      </c>
      <c r="BT32" s="107">
        <f t="shared" si="42"/>
        <v>0</v>
      </c>
      <c r="BU32" s="264">
        <f t="shared" si="43"/>
        <v>47.5</v>
      </c>
      <c r="BV32" s="264">
        <f t="shared" si="25"/>
        <v>0</v>
      </c>
      <c r="BW32" s="265"/>
      <c r="BX32" s="361">
        <f t="shared" si="26"/>
        <v>0</v>
      </c>
      <c r="BY32" s="499">
        <f t="shared" si="27"/>
        <v>0</v>
      </c>
    </row>
    <row r="33" spans="2:77" ht="15.75" customHeight="1" x14ac:dyDescent="0.45">
      <c r="C33" s="21" t="s">
        <v>156</v>
      </c>
      <c r="D33" s="191" t="s">
        <v>21</v>
      </c>
      <c r="E33" s="311">
        <f>事業費用概算!G7</f>
        <v>3000</v>
      </c>
      <c r="F33" s="178">
        <f>E33</f>
        <v>3000</v>
      </c>
      <c r="K33" s="119" t="s">
        <v>157</v>
      </c>
      <c r="M33" s="119"/>
      <c r="N33" s="191" t="s">
        <v>21</v>
      </c>
      <c r="O33" s="147">
        <f>O32*E35</f>
        <v>2850</v>
      </c>
      <c r="P33" s="147">
        <f>$P$32*F35</f>
        <v>2850</v>
      </c>
      <c r="V33" s="294">
        <f t="shared" si="28"/>
        <v>51956</v>
      </c>
      <c r="W33" s="366">
        <f t="shared" si="29"/>
        <v>16</v>
      </c>
      <c r="X33" s="366" t="str">
        <f t="shared" si="30"/>
        <v>維持管理・運営期間</v>
      </c>
      <c r="Y33" s="106">
        <f t="shared" si="0"/>
        <v>0</v>
      </c>
      <c r="Z33" s="107">
        <f t="shared" si="1"/>
        <v>0</v>
      </c>
      <c r="AA33" s="107">
        <f t="shared" si="2"/>
        <v>0</v>
      </c>
      <c r="AB33" s="107">
        <f t="shared" si="3"/>
        <v>0</v>
      </c>
      <c r="AC33" s="108">
        <f t="shared" si="31"/>
        <v>0</v>
      </c>
      <c r="AD33" s="106">
        <f t="shared" si="4"/>
        <v>0</v>
      </c>
      <c r="AE33" s="107">
        <f t="shared" si="5"/>
        <v>47.5</v>
      </c>
      <c r="AF33" s="107">
        <f t="shared" si="32"/>
        <v>10</v>
      </c>
      <c r="AG33" s="368">
        <f>IF(AND($W33&gt;$O$83, SUM($AA$17:AA32)&gt;0,SUM($AG$17:AG32)&lt;$O$79),$O$82,0)</f>
        <v>64.125</v>
      </c>
      <c r="AH33" s="107">
        <f>IF(SUM($AA$18:$AA32)&gt;0,($O$79-SUM($AG$18:$AG32))*$F$83,0)</f>
        <v>13.7548125</v>
      </c>
      <c r="AI33" s="108">
        <f t="shared" si="33"/>
        <v>135.37981250000001</v>
      </c>
      <c r="AJ33" s="113">
        <f t="shared" si="6"/>
        <v>-135.37981250000001</v>
      </c>
      <c r="AK33" s="115">
        <f t="shared" si="34"/>
        <v>0</v>
      </c>
      <c r="AL33" s="277"/>
      <c r="AM33" s="264">
        <f t="shared" si="7"/>
        <v>-74.732171067443701</v>
      </c>
      <c r="AN33" s="278"/>
      <c r="AO33" s="266">
        <f t="shared" si="8"/>
        <v>0</v>
      </c>
      <c r="AP33" s="263">
        <f t="shared" si="9"/>
        <v>0</v>
      </c>
      <c r="AQ33" s="263">
        <f t="shared" si="10"/>
        <v>0</v>
      </c>
      <c r="AR33" s="260">
        <f t="shared" si="11"/>
        <v>0</v>
      </c>
      <c r="AS33" s="261">
        <f t="shared" si="35"/>
        <v>0</v>
      </c>
      <c r="AT33" s="260">
        <f t="shared" si="12"/>
        <v>0</v>
      </c>
      <c r="AU33" s="260">
        <f t="shared" si="13"/>
        <v>0</v>
      </c>
      <c r="AV33" s="260">
        <f t="shared" si="14"/>
        <v>0</v>
      </c>
      <c r="AW33" s="260">
        <f t="shared" si="15"/>
        <v>47.5</v>
      </c>
      <c r="AX33" s="368">
        <f t="shared" si="36"/>
        <v>6</v>
      </c>
      <c r="AY33" s="260">
        <f t="shared" si="16"/>
        <v>0</v>
      </c>
      <c r="AZ33" s="368">
        <f>IF(AND($W33&gt;$P$83, SUM($AQ$17:AQ32)&gt;0,SUM($AZ$17:AZ32)&lt;$P$79),$P$82,0)</f>
        <v>64.125</v>
      </c>
      <c r="BA33" s="107">
        <f>IF(SUM($AQ$18:$AQ32)&gt;0,($P$79-SUM($AZ$18:$AZ32))*$F$83,0)</f>
        <v>13.7548125</v>
      </c>
      <c r="BB33" s="261">
        <f t="shared" si="37"/>
        <v>131.37981250000001</v>
      </c>
      <c r="BC33" s="263">
        <f t="shared" si="38"/>
        <v>-131.37981250000001</v>
      </c>
      <c r="BD33" s="264">
        <f t="shared" si="17"/>
        <v>-72.524096770769859</v>
      </c>
      <c r="BE33" s="279"/>
      <c r="BF33" s="180">
        <f t="shared" si="39"/>
        <v>0.55201857416846178</v>
      </c>
      <c r="BH33" s="266">
        <f t="shared" si="40"/>
        <v>0</v>
      </c>
      <c r="BI33" s="266">
        <f t="shared" si="40"/>
        <v>0</v>
      </c>
      <c r="BJ33" s="263">
        <f t="shared" si="40"/>
        <v>0</v>
      </c>
      <c r="BK33" s="263">
        <f t="shared" si="40"/>
        <v>47.5</v>
      </c>
      <c r="BL33" s="263">
        <f t="shared" si="41"/>
        <v>0</v>
      </c>
      <c r="BM33" s="260">
        <f t="shared" si="18"/>
        <v>0</v>
      </c>
      <c r="BN33" s="264">
        <f t="shared" si="19"/>
        <v>47.5</v>
      </c>
      <c r="BO33" s="263">
        <f t="shared" si="20"/>
        <v>0</v>
      </c>
      <c r="BP33" s="263">
        <f t="shared" si="21"/>
        <v>47.5</v>
      </c>
      <c r="BQ33" s="263">
        <f t="shared" si="22"/>
        <v>0</v>
      </c>
      <c r="BR33" s="263">
        <f t="shared" si="23"/>
        <v>0</v>
      </c>
      <c r="BS33" s="263">
        <f t="shared" si="24"/>
        <v>0</v>
      </c>
      <c r="BT33" s="107">
        <f t="shared" si="42"/>
        <v>0</v>
      </c>
      <c r="BU33" s="264">
        <f t="shared" si="43"/>
        <v>47.5</v>
      </c>
      <c r="BV33" s="264">
        <f t="shared" si="25"/>
        <v>0</v>
      </c>
      <c r="BW33" s="265"/>
      <c r="BX33" s="361">
        <f t="shared" si="26"/>
        <v>0</v>
      </c>
      <c r="BY33" s="499">
        <f t="shared" si="27"/>
        <v>0</v>
      </c>
    </row>
    <row r="34" spans="2:77" ht="15.75" customHeight="1" x14ac:dyDescent="0.3">
      <c r="E34" s="22"/>
      <c r="F34" s="22"/>
      <c r="K34" s="119" t="s">
        <v>158</v>
      </c>
      <c r="M34" s="119"/>
      <c r="N34" s="191" t="s">
        <v>21</v>
      </c>
      <c r="O34" s="436">
        <f>O33*E36</f>
        <v>0</v>
      </c>
      <c r="P34" s="436">
        <f>$P$3*F36</f>
        <v>0</v>
      </c>
      <c r="V34" s="294">
        <f t="shared" si="28"/>
        <v>52321</v>
      </c>
      <c r="W34" s="366">
        <f t="shared" si="29"/>
        <v>17</v>
      </c>
      <c r="X34" s="366" t="str">
        <f t="shared" si="30"/>
        <v>維持管理・運営期間</v>
      </c>
      <c r="Y34" s="106">
        <f t="shared" si="0"/>
        <v>0</v>
      </c>
      <c r="Z34" s="107">
        <f t="shared" si="1"/>
        <v>0</v>
      </c>
      <c r="AA34" s="107">
        <f t="shared" si="2"/>
        <v>0</v>
      </c>
      <c r="AB34" s="107">
        <f t="shared" si="3"/>
        <v>0</v>
      </c>
      <c r="AC34" s="108">
        <f t="shared" si="31"/>
        <v>0</v>
      </c>
      <c r="AD34" s="106">
        <f t="shared" si="4"/>
        <v>0</v>
      </c>
      <c r="AE34" s="107">
        <f t="shared" si="5"/>
        <v>47.5</v>
      </c>
      <c r="AF34" s="107">
        <f t="shared" si="32"/>
        <v>10</v>
      </c>
      <c r="AG34" s="368">
        <f>IF(AND($W34&gt;$O$83, SUM($AA$17:AA33)&gt;0,SUM($AG$17:AG33)&lt;$O$79),$O$82,0)</f>
        <v>64.125</v>
      </c>
      <c r="AH34" s="107">
        <f>IF(SUM($AA$18:$AA33)&gt;0,($O$79-SUM($AG$18:$AG33))*$F$83,0)</f>
        <v>12.504375</v>
      </c>
      <c r="AI34" s="108">
        <f t="shared" si="33"/>
        <v>134.12937500000001</v>
      </c>
      <c r="AJ34" s="113">
        <f t="shared" si="6"/>
        <v>-134.12937500000001</v>
      </c>
      <c r="AK34" s="115">
        <f t="shared" si="34"/>
        <v>0</v>
      </c>
      <c r="AL34" s="277"/>
      <c r="AM34" s="264">
        <f t="shared" si="7"/>
        <v>-71.342725659023429</v>
      </c>
      <c r="AN34" s="278"/>
      <c r="AO34" s="266">
        <f t="shared" si="8"/>
        <v>0</v>
      </c>
      <c r="AP34" s="263">
        <f t="shared" si="9"/>
        <v>0</v>
      </c>
      <c r="AQ34" s="263">
        <f t="shared" si="10"/>
        <v>0</v>
      </c>
      <c r="AR34" s="260">
        <f t="shared" si="11"/>
        <v>0</v>
      </c>
      <c r="AS34" s="261">
        <f t="shared" si="35"/>
        <v>0</v>
      </c>
      <c r="AT34" s="260">
        <f t="shared" si="12"/>
        <v>0</v>
      </c>
      <c r="AU34" s="260">
        <f t="shared" si="13"/>
        <v>0</v>
      </c>
      <c r="AV34" s="260">
        <f t="shared" si="14"/>
        <v>0</v>
      </c>
      <c r="AW34" s="260">
        <f t="shared" si="15"/>
        <v>47.5</v>
      </c>
      <c r="AX34" s="368">
        <f t="shared" si="36"/>
        <v>6</v>
      </c>
      <c r="AY34" s="260">
        <f t="shared" si="16"/>
        <v>0</v>
      </c>
      <c r="AZ34" s="368">
        <f>IF(AND($W34&gt;$P$83, SUM($AQ$17:AQ33)&gt;0,SUM($AZ$17:AZ33)&lt;$P$79),$P$82,0)</f>
        <v>64.125</v>
      </c>
      <c r="BA34" s="107">
        <f>IF(SUM($AQ$18:$AQ33)&gt;0,($P$79-SUM($AZ$18:$AZ33))*$F$83,0)</f>
        <v>12.504375</v>
      </c>
      <c r="BB34" s="261">
        <f t="shared" si="37"/>
        <v>130.12937500000001</v>
      </c>
      <c r="BC34" s="263">
        <f t="shared" si="38"/>
        <v>-130.12937500000001</v>
      </c>
      <c r="BD34" s="264">
        <f t="shared" si="17"/>
        <v>-69.215146203470965</v>
      </c>
      <c r="BE34" s="279"/>
      <c r="BF34" s="180">
        <f t="shared" si="39"/>
        <v>0.53189486388811869</v>
      </c>
      <c r="BH34" s="266">
        <f t="shared" si="40"/>
        <v>0</v>
      </c>
      <c r="BI34" s="266">
        <f t="shared" si="40"/>
        <v>0</v>
      </c>
      <c r="BJ34" s="263">
        <f t="shared" si="40"/>
        <v>0</v>
      </c>
      <c r="BK34" s="263">
        <f t="shared" si="40"/>
        <v>47.5</v>
      </c>
      <c r="BL34" s="263">
        <f t="shared" si="41"/>
        <v>0</v>
      </c>
      <c r="BM34" s="260">
        <f t="shared" si="18"/>
        <v>0</v>
      </c>
      <c r="BN34" s="264">
        <f t="shared" si="19"/>
        <v>47.5</v>
      </c>
      <c r="BO34" s="263">
        <f t="shared" si="20"/>
        <v>0</v>
      </c>
      <c r="BP34" s="263">
        <f t="shared" si="21"/>
        <v>47.5</v>
      </c>
      <c r="BQ34" s="263">
        <f t="shared" si="22"/>
        <v>0</v>
      </c>
      <c r="BR34" s="263">
        <f t="shared" si="23"/>
        <v>0</v>
      </c>
      <c r="BS34" s="263">
        <f t="shared" si="24"/>
        <v>0</v>
      </c>
      <c r="BT34" s="107">
        <f t="shared" si="42"/>
        <v>0</v>
      </c>
      <c r="BU34" s="264">
        <f t="shared" si="43"/>
        <v>47.5</v>
      </c>
      <c r="BV34" s="264">
        <f t="shared" si="25"/>
        <v>0</v>
      </c>
      <c r="BW34" s="265"/>
      <c r="BX34" s="361">
        <f t="shared" si="26"/>
        <v>0</v>
      </c>
      <c r="BY34" s="499">
        <f t="shared" si="27"/>
        <v>0</v>
      </c>
    </row>
    <row r="35" spans="2:77" ht="15.75" customHeight="1" x14ac:dyDescent="0.45">
      <c r="C35" s="21" t="s">
        <v>159</v>
      </c>
      <c r="D35" s="191" t="s">
        <v>25</v>
      </c>
      <c r="E35" s="315">
        <v>1</v>
      </c>
      <c r="F35" s="315">
        <v>1</v>
      </c>
      <c r="H35" s="120" t="s">
        <v>160</v>
      </c>
      <c r="K35" s="275" t="s">
        <v>161</v>
      </c>
      <c r="L35" s="241"/>
      <c r="M35" s="275"/>
      <c r="N35" s="242" t="s">
        <v>21</v>
      </c>
      <c r="O35" s="437">
        <f>SUM(O33:O34)</f>
        <v>2850</v>
      </c>
      <c r="P35" s="437">
        <f>SUM(P33:P34)</f>
        <v>2850</v>
      </c>
      <c r="V35" s="294">
        <f t="shared" si="28"/>
        <v>52687</v>
      </c>
      <c r="W35" s="366">
        <f t="shared" si="29"/>
        <v>18</v>
      </c>
      <c r="X35" s="366" t="str">
        <f t="shared" si="30"/>
        <v>維持管理・運営期間</v>
      </c>
      <c r="Y35" s="106">
        <f t="shared" si="0"/>
        <v>0</v>
      </c>
      <c r="Z35" s="107">
        <f t="shared" si="1"/>
        <v>0</v>
      </c>
      <c r="AA35" s="107">
        <f t="shared" si="2"/>
        <v>0</v>
      </c>
      <c r="AB35" s="107">
        <f t="shared" si="3"/>
        <v>0</v>
      </c>
      <c r="AC35" s="108">
        <f t="shared" si="31"/>
        <v>0</v>
      </c>
      <c r="AD35" s="106">
        <f t="shared" si="4"/>
        <v>0</v>
      </c>
      <c r="AE35" s="107">
        <f t="shared" si="5"/>
        <v>47.5</v>
      </c>
      <c r="AF35" s="107">
        <f t="shared" si="32"/>
        <v>10</v>
      </c>
      <c r="AG35" s="368">
        <f>IF(AND($W35&gt;$O$83, SUM($AA$17:AA34)&gt;0,SUM($AG$17:AG34)&lt;$O$79),$O$82,0)</f>
        <v>64.125</v>
      </c>
      <c r="AH35" s="107">
        <f>IF(SUM($AA$18:$AA34)&gt;0,($O$79-SUM($AG$18:$AG34))*$F$83,0)</f>
        <v>11.253937499999999</v>
      </c>
      <c r="AI35" s="108">
        <f t="shared" si="33"/>
        <v>132.87893750000001</v>
      </c>
      <c r="AJ35" s="113">
        <f t="shared" si="6"/>
        <v>-132.87893750000001</v>
      </c>
      <c r="AK35" s="115">
        <f t="shared" si="34"/>
        <v>0</v>
      </c>
      <c r="AL35" s="277"/>
      <c r="AM35" s="264">
        <f t="shared" si="7"/>
        <v>-68.10108781863029</v>
      </c>
      <c r="AN35" s="278"/>
      <c r="AO35" s="266">
        <f t="shared" si="8"/>
        <v>0</v>
      </c>
      <c r="AP35" s="263">
        <f t="shared" si="9"/>
        <v>0</v>
      </c>
      <c r="AQ35" s="263">
        <f t="shared" si="10"/>
        <v>0</v>
      </c>
      <c r="AR35" s="260">
        <f t="shared" si="11"/>
        <v>0</v>
      </c>
      <c r="AS35" s="261">
        <f t="shared" si="35"/>
        <v>0</v>
      </c>
      <c r="AT35" s="260">
        <f t="shared" si="12"/>
        <v>0</v>
      </c>
      <c r="AU35" s="260">
        <f t="shared" si="13"/>
        <v>0</v>
      </c>
      <c r="AV35" s="260">
        <f t="shared" si="14"/>
        <v>0</v>
      </c>
      <c r="AW35" s="260">
        <f t="shared" si="15"/>
        <v>47.5</v>
      </c>
      <c r="AX35" s="368">
        <f t="shared" si="36"/>
        <v>6</v>
      </c>
      <c r="AY35" s="260">
        <f t="shared" si="16"/>
        <v>0</v>
      </c>
      <c r="AZ35" s="368">
        <f>IF(AND($W35&gt;$P$83, SUM($AQ$17:AQ34)&gt;0,SUM($AZ$17:AZ34)&lt;$P$79),$P$82,0)</f>
        <v>64.125</v>
      </c>
      <c r="BA35" s="107">
        <f>IF(SUM($AQ$18:$AQ34)&gt;0,($P$79-SUM($AZ$18:$AZ34))*$F$83,0)</f>
        <v>11.253937499999999</v>
      </c>
      <c r="BB35" s="261">
        <f t="shared" si="37"/>
        <v>128.87893750000001</v>
      </c>
      <c r="BC35" s="263">
        <f t="shared" si="38"/>
        <v>-128.87893750000001</v>
      </c>
      <c r="BD35" s="264">
        <f t="shared" si="17"/>
        <v>-66.05106878326194</v>
      </c>
      <c r="BE35" s="279"/>
      <c r="BF35" s="180">
        <f t="shared" si="39"/>
        <v>0.51250475884208724</v>
      </c>
      <c r="BH35" s="266">
        <f t="shared" ref="BH35:BK36" si="44">AT35</f>
        <v>0</v>
      </c>
      <c r="BI35" s="266">
        <f t="shared" si="44"/>
        <v>0</v>
      </c>
      <c r="BJ35" s="263">
        <f t="shared" si="44"/>
        <v>0</v>
      </c>
      <c r="BK35" s="263">
        <f t="shared" si="44"/>
        <v>47.5</v>
      </c>
      <c r="BL35" s="263">
        <f t="shared" si="41"/>
        <v>0</v>
      </c>
      <c r="BM35" s="260">
        <f t="shared" si="18"/>
        <v>0</v>
      </c>
      <c r="BN35" s="264">
        <f t="shared" si="19"/>
        <v>47.5</v>
      </c>
      <c r="BO35" s="263">
        <f t="shared" si="20"/>
        <v>0</v>
      </c>
      <c r="BP35" s="263">
        <f t="shared" si="21"/>
        <v>47.5</v>
      </c>
      <c r="BQ35" s="263">
        <f t="shared" si="22"/>
        <v>0</v>
      </c>
      <c r="BR35" s="263">
        <f t="shared" si="23"/>
        <v>0</v>
      </c>
      <c r="BS35" s="263">
        <f t="shared" si="24"/>
        <v>0</v>
      </c>
      <c r="BT35" s="107">
        <f t="shared" si="42"/>
        <v>0</v>
      </c>
      <c r="BU35" s="264">
        <f t="shared" si="43"/>
        <v>47.5</v>
      </c>
      <c r="BV35" s="264">
        <f t="shared" si="25"/>
        <v>0</v>
      </c>
      <c r="BW35" s="265"/>
      <c r="BX35" s="361">
        <f t="shared" si="26"/>
        <v>0</v>
      </c>
      <c r="BY35" s="499">
        <f t="shared" si="27"/>
        <v>0</v>
      </c>
    </row>
    <row r="36" spans="2:77" ht="15.75" customHeight="1" x14ac:dyDescent="0.45">
      <c r="C36" s="21" t="s">
        <v>162</v>
      </c>
      <c r="D36" s="191" t="s">
        <v>25</v>
      </c>
      <c r="E36" s="418"/>
      <c r="F36" s="418"/>
      <c r="V36" s="294">
        <f t="shared" si="28"/>
        <v>53052</v>
      </c>
      <c r="W36" s="366">
        <f t="shared" si="29"/>
        <v>19</v>
      </c>
      <c r="X36" s="366" t="str">
        <f t="shared" si="30"/>
        <v>維持管理・運営期間</v>
      </c>
      <c r="Y36" s="106">
        <f t="shared" si="0"/>
        <v>0</v>
      </c>
      <c r="Z36" s="107">
        <f t="shared" si="1"/>
        <v>0</v>
      </c>
      <c r="AA36" s="107">
        <f t="shared" si="2"/>
        <v>0</v>
      </c>
      <c r="AB36" s="107">
        <f t="shared" si="3"/>
        <v>0</v>
      </c>
      <c r="AC36" s="108">
        <f t="shared" si="31"/>
        <v>0</v>
      </c>
      <c r="AD36" s="106">
        <f t="shared" si="4"/>
        <v>0</v>
      </c>
      <c r="AE36" s="107">
        <f t="shared" si="5"/>
        <v>47.5</v>
      </c>
      <c r="AF36" s="107">
        <f t="shared" si="32"/>
        <v>10</v>
      </c>
      <c r="AG36" s="368">
        <f>IF(AND($W36&gt;$O$83, SUM($AA$17:AA35)&gt;0,SUM($AG$17:AG35)&lt;$O$79),$O$82,0)</f>
        <v>64.125</v>
      </c>
      <c r="AH36" s="107">
        <f>IF(SUM($AA$18:$AA35)&gt;0,($O$79-SUM($AG$18:$AG35))*$F$83,0)</f>
        <v>10.003500000000001</v>
      </c>
      <c r="AI36" s="108">
        <f t="shared" si="33"/>
        <v>131.6285</v>
      </c>
      <c r="AJ36" s="113">
        <f t="shared" si="6"/>
        <v>-131.6285</v>
      </c>
      <c r="AK36" s="115">
        <f t="shared" si="34"/>
        <v>0</v>
      </c>
      <c r="AL36" s="277"/>
      <c r="AM36" s="264">
        <f t="shared" si="7"/>
        <v>-65.000985368802418</v>
      </c>
      <c r="AN36" s="278"/>
      <c r="AO36" s="266">
        <f t="shared" si="8"/>
        <v>0</v>
      </c>
      <c r="AP36" s="263">
        <f t="shared" si="9"/>
        <v>0</v>
      </c>
      <c r="AQ36" s="263">
        <f t="shared" si="10"/>
        <v>0</v>
      </c>
      <c r="AR36" s="260">
        <f t="shared" si="11"/>
        <v>0</v>
      </c>
      <c r="AS36" s="261">
        <f t="shared" si="35"/>
        <v>0</v>
      </c>
      <c r="AT36" s="260">
        <f t="shared" si="12"/>
        <v>0</v>
      </c>
      <c r="AU36" s="260">
        <f t="shared" si="13"/>
        <v>0</v>
      </c>
      <c r="AV36" s="260">
        <f t="shared" si="14"/>
        <v>0</v>
      </c>
      <c r="AW36" s="260">
        <f t="shared" si="15"/>
        <v>47.5</v>
      </c>
      <c r="AX36" s="368">
        <f t="shared" si="36"/>
        <v>6</v>
      </c>
      <c r="AY36" s="260">
        <f t="shared" si="16"/>
        <v>0</v>
      </c>
      <c r="AZ36" s="368">
        <f>IF(AND($W36&gt;$P$83, SUM($AQ$17:AQ35)&gt;0,SUM($AZ$17:AZ35)&lt;$P$79),$P$82,0)</f>
        <v>64.125</v>
      </c>
      <c r="BA36" s="107">
        <f>IF(SUM($AQ$18:$AQ35)&gt;0,($P$79-SUM($AZ$18:$AZ35))*$F$83,0)</f>
        <v>10.003500000000001</v>
      </c>
      <c r="BB36" s="261">
        <f t="shared" si="37"/>
        <v>127.6285</v>
      </c>
      <c r="BC36" s="263">
        <f t="shared" si="38"/>
        <v>-127.6285</v>
      </c>
      <c r="BD36" s="264">
        <f t="shared" si="17"/>
        <v>-63.025699306321954</v>
      </c>
      <c r="BE36" s="279"/>
      <c r="BF36" s="180">
        <f t="shared" si="39"/>
        <v>0.49382151562011584</v>
      </c>
      <c r="BH36" s="266">
        <f t="shared" si="44"/>
        <v>0</v>
      </c>
      <c r="BI36" s="266">
        <f t="shared" si="44"/>
        <v>0</v>
      </c>
      <c r="BJ36" s="263">
        <f t="shared" si="44"/>
        <v>0</v>
      </c>
      <c r="BK36" s="263">
        <f t="shared" si="44"/>
        <v>47.5</v>
      </c>
      <c r="BL36" s="263">
        <f t="shared" si="41"/>
        <v>0</v>
      </c>
      <c r="BM36" s="260">
        <f t="shared" si="18"/>
        <v>0</v>
      </c>
      <c r="BN36" s="264">
        <f t="shared" si="19"/>
        <v>47.5</v>
      </c>
      <c r="BO36" s="263">
        <f t="shared" si="20"/>
        <v>0</v>
      </c>
      <c r="BP36" s="263">
        <f t="shared" si="21"/>
        <v>47.5</v>
      </c>
      <c r="BQ36" s="263">
        <f t="shared" si="22"/>
        <v>0</v>
      </c>
      <c r="BR36" s="263">
        <f t="shared" si="23"/>
        <v>0</v>
      </c>
      <c r="BS36" s="263">
        <f t="shared" si="24"/>
        <v>0</v>
      </c>
      <c r="BT36" s="107">
        <f t="shared" si="42"/>
        <v>0</v>
      </c>
      <c r="BU36" s="264">
        <f t="shared" si="43"/>
        <v>47.5</v>
      </c>
      <c r="BV36" s="264">
        <f t="shared" si="25"/>
        <v>0</v>
      </c>
      <c r="BW36" s="265"/>
      <c r="BX36" s="361">
        <f t="shared" si="26"/>
        <v>0</v>
      </c>
      <c r="BY36" s="499">
        <f t="shared" si="27"/>
        <v>0</v>
      </c>
    </row>
    <row r="37" spans="2:77" ht="15.75" customHeight="1" x14ac:dyDescent="0.3">
      <c r="V37" s="294">
        <f t="shared" ref="V37:V47" si="45">IF(W37=1,DATE(YEAR($F$20)+(MONTH($F$20)&gt;=4),4,0),EOMONTH(V36,12))</f>
        <v>53417</v>
      </c>
      <c r="W37" s="366">
        <f t="shared" si="29"/>
        <v>20</v>
      </c>
      <c r="X37" s="366" t="str">
        <f t="shared" si="30"/>
        <v>維持管理・運営期間</v>
      </c>
      <c r="Y37" s="106">
        <f t="shared" si="0"/>
        <v>0</v>
      </c>
      <c r="Z37" s="107">
        <f t="shared" si="1"/>
        <v>0</v>
      </c>
      <c r="AA37" s="107">
        <f t="shared" si="2"/>
        <v>0</v>
      </c>
      <c r="AB37" s="107">
        <f t="shared" si="3"/>
        <v>0</v>
      </c>
      <c r="AC37" s="108">
        <f t="shared" ref="AC37:AC47" si="46">SUM(Y37:AB37)</f>
        <v>0</v>
      </c>
      <c r="AD37" s="106">
        <f t="shared" ref="AD37:AD47" si="47">IF($W37=$F$18,$O$33,0)</f>
        <v>0</v>
      </c>
      <c r="AE37" s="107">
        <f t="shared" si="5"/>
        <v>47.5</v>
      </c>
      <c r="AF37" s="107">
        <f t="shared" si="32"/>
        <v>10</v>
      </c>
      <c r="AG37" s="368">
        <f>IF(AND($W37&gt;$O$83, SUM($AA$17:AA36)&gt;0,SUM($AG$17:AG36)&lt;$O$79),$O$82,0)</f>
        <v>64.125</v>
      </c>
      <c r="AH37" s="107">
        <f>IF(SUM($AA$18:$AA36)&gt;0,($O$79-SUM($AG$18:$AG36))*$F$83,0)</f>
        <v>8.7530625000000004</v>
      </c>
      <c r="AI37" s="108">
        <f t="shared" ref="AI37:AI47" si="48">SUM(AD37:AH37)</f>
        <v>130.3780625</v>
      </c>
      <c r="AJ37" s="113">
        <f t="shared" ref="AJ37:AJ47" si="49">AC37-AI37</f>
        <v>-130.3780625</v>
      </c>
      <c r="AK37" s="115">
        <f t="shared" si="34"/>
        <v>0</v>
      </c>
      <c r="AL37" s="277"/>
      <c r="AM37" s="264">
        <f t="shared" ref="AM37:AM47" si="50">AJ37*$BF37</f>
        <v>-62.036407004746607</v>
      </c>
      <c r="AN37" s="278"/>
      <c r="AO37" s="266">
        <f t="shared" si="8"/>
        <v>0</v>
      </c>
      <c r="AP37" s="263">
        <f t="shared" si="9"/>
        <v>0</v>
      </c>
      <c r="AQ37" s="263">
        <f t="shared" si="10"/>
        <v>0</v>
      </c>
      <c r="AR37" s="260">
        <f t="shared" si="11"/>
        <v>0</v>
      </c>
      <c r="AS37" s="261">
        <f t="shared" ref="AS37:AS47" si="51">SUM(AO37:AR37)</f>
        <v>0</v>
      </c>
      <c r="AT37" s="260">
        <f t="shared" ref="AT37:AT47" si="52">IF(W37=$F$18,$P$33,0)</f>
        <v>0</v>
      </c>
      <c r="AU37" s="260">
        <f t="shared" si="13"/>
        <v>0</v>
      </c>
      <c r="AV37" s="260">
        <f t="shared" si="14"/>
        <v>0</v>
      </c>
      <c r="AW37" s="260">
        <f t="shared" si="15"/>
        <v>47.5</v>
      </c>
      <c r="AX37" s="368">
        <f t="shared" si="36"/>
        <v>6</v>
      </c>
      <c r="AY37" s="260">
        <f t="shared" si="16"/>
        <v>0</v>
      </c>
      <c r="AZ37" s="368">
        <f>IF(AND($W37&gt;$P$83, SUM($AQ$17:AQ36)&gt;0,SUM($AZ$17:AZ36)&lt;$P$79),$P$82,0)</f>
        <v>64.125</v>
      </c>
      <c r="BA37" s="107">
        <f>IF(SUM($AQ$18:$AQ36)&gt;0,($P$79-SUM($AZ$18:$AZ36))*$F$83,0)</f>
        <v>8.7530625000000004</v>
      </c>
      <c r="BB37" s="261">
        <f t="shared" ref="BB37:BB47" si="53">SUM(AT37:BA37)</f>
        <v>126.3780625</v>
      </c>
      <c r="BC37" s="263">
        <f t="shared" ref="BC37:BC47" si="54">AS37-BB37</f>
        <v>-126.3780625</v>
      </c>
      <c r="BD37" s="264">
        <f t="shared" ref="BD37:BD47" si="55">BC37*$BF37</f>
        <v>-60.133129541799299</v>
      </c>
      <c r="BE37" s="279"/>
      <c r="BF37" s="180">
        <f t="shared" ref="BF37:BF47" si="56">BF36/(1+$O$25)</f>
        <v>0.4758193657368287</v>
      </c>
      <c r="BH37" s="266">
        <f t="shared" ref="BH37:BH47" si="57">AT37</f>
        <v>0</v>
      </c>
      <c r="BI37" s="266">
        <f t="shared" ref="BI37:BI47" si="58">AU37</f>
        <v>0</v>
      </c>
      <c r="BJ37" s="263">
        <f t="shared" ref="BJ37:BJ47" si="59">AV37</f>
        <v>0</v>
      </c>
      <c r="BK37" s="263">
        <f t="shared" ref="BK37:BK47" si="60">AW37</f>
        <v>47.5</v>
      </c>
      <c r="BL37" s="263">
        <f t="shared" ref="BL37:BL47" si="61">AY37</f>
        <v>0</v>
      </c>
      <c r="BM37" s="260">
        <f t="shared" si="18"/>
        <v>0</v>
      </c>
      <c r="BN37" s="264">
        <f t="shared" ref="BN37:BN47" si="62">SUM(BH37:BM37)</f>
        <v>47.5</v>
      </c>
      <c r="BO37" s="263">
        <f t="shared" ref="BO37:BO47" si="63">IF($W37=$F$18,$P$35,0)</f>
        <v>0</v>
      </c>
      <c r="BP37" s="263">
        <f t="shared" si="21"/>
        <v>47.5</v>
      </c>
      <c r="BQ37" s="263">
        <f t="shared" si="22"/>
        <v>0</v>
      </c>
      <c r="BR37" s="263">
        <f t="shared" si="23"/>
        <v>0</v>
      </c>
      <c r="BS37" s="263">
        <f t="shared" si="24"/>
        <v>0</v>
      </c>
      <c r="BT37" s="107">
        <f t="shared" si="42"/>
        <v>0</v>
      </c>
      <c r="BU37" s="264">
        <f t="shared" ref="BU37:BU47" si="64">SUM(BO37:BT37)</f>
        <v>47.5</v>
      </c>
      <c r="BV37" s="264">
        <f t="shared" ref="BV37:BV47" si="65">BN37-BU37</f>
        <v>0</v>
      </c>
      <c r="BW37" s="265"/>
      <c r="BX37" s="361">
        <f t="shared" si="26"/>
        <v>0</v>
      </c>
      <c r="BY37" s="499">
        <f t="shared" ref="BY37:BY47" si="66">IF(W37&lt;=$F$18,0,IF(BV37&gt;=BX37,0,1))</f>
        <v>0</v>
      </c>
    </row>
    <row r="38" spans="2:77" ht="15.75" customHeight="1" x14ac:dyDescent="0.3">
      <c r="V38" s="294">
        <f t="shared" si="45"/>
        <v>53782</v>
      </c>
      <c r="W38" s="366">
        <f t="shared" si="29"/>
        <v>21</v>
      </c>
      <c r="X38" s="366" t="str">
        <f t="shared" si="30"/>
        <v>維持管理・運営期間</v>
      </c>
      <c r="Y38" s="106">
        <f t="shared" si="0"/>
        <v>0</v>
      </c>
      <c r="Z38" s="107">
        <f t="shared" si="1"/>
        <v>0</v>
      </c>
      <c r="AA38" s="107">
        <f t="shared" si="2"/>
        <v>0</v>
      </c>
      <c r="AB38" s="107">
        <f t="shared" si="3"/>
        <v>0</v>
      </c>
      <c r="AC38" s="108">
        <f t="shared" si="46"/>
        <v>0</v>
      </c>
      <c r="AD38" s="106">
        <f t="shared" si="47"/>
        <v>0</v>
      </c>
      <c r="AE38" s="107">
        <f t="shared" si="5"/>
        <v>47.5</v>
      </c>
      <c r="AF38" s="107">
        <f t="shared" si="32"/>
        <v>10</v>
      </c>
      <c r="AG38" s="368">
        <f>IF(AND($W38&gt;$O$83, SUM($AA$17:AA37)&gt;0,SUM($AG$17:AG37)&lt;$O$79),$O$82,0)</f>
        <v>64.125</v>
      </c>
      <c r="AH38" s="107">
        <f>IF(SUM($AA$18:$AA37)&gt;0,($O$79-SUM($AG$18:$AG37))*$F$83,0)</f>
        <v>7.5026250000000001</v>
      </c>
      <c r="AI38" s="108">
        <f t="shared" si="48"/>
        <v>129.12762499999999</v>
      </c>
      <c r="AJ38" s="113">
        <f t="shared" si="49"/>
        <v>-129.12762499999999</v>
      </c>
      <c r="AK38" s="115">
        <f t="shared" si="34"/>
        <v>0</v>
      </c>
      <c r="AL38" s="277"/>
      <c r="AM38" s="264">
        <f t="shared" si="50"/>
        <v>-59.201591609643799</v>
      </c>
      <c r="AN38" s="278"/>
      <c r="AO38" s="266">
        <f t="shared" si="8"/>
        <v>0</v>
      </c>
      <c r="AP38" s="263">
        <f t="shared" si="9"/>
        <v>0</v>
      </c>
      <c r="AQ38" s="263">
        <f t="shared" si="10"/>
        <v>0</v>
      </c>
      <c r="AR38" s="260">
        <f t="shared" si="11"/>
        <v>0</v>
      </c>
      <c r="AS38" s="261">
        <f t="shared" si="51"/>
        <v>0</v>
      </c>
      <c r="AT38" s="260">
        <f t="shared" si="52"/>
        <v>0</v>
      </c>
      <c r="AU38" s="260">
        <f t="shared" si="13"/>
        <v>0</v>
      </c>
      <c r="AV38" s="260">
        <f t="shared" si="14"/>
        <v>0</v>
      </c>
      <c r="AW38" s="260">
        <f t="shared" si="15"/>
        <v>47.5</v>
      </c>
      <c r="AX38" s="368">
        <f t="shared" si="36"/>
        <v>6</v>
      </c>
      <c r="AY38" s="260">
        <f t="shared" si="16"/>
        <v>0</v>
      </c>
      <c r="AZ38" s="368">
        <f>IF(AND($W38&gt;$P$83, SUM($AQ$17:AQ37)&gt;0,SUM($AZ$17:AZ37)&lt;$P$79),$P$82,0)</f>
        <v>64.125</v>
      </c>
      <c r="BA38" s="107">
        <f>IF(SUM($AQ$18:$AQ37)&gt;0,($P$79-SUM($AZ$18:$AZ37))*$F$83,0)</f>
        <v>7.5026250000000001</v>
      </c>
      <c r="BB38" s="261">
        <f t="shared" si="53"/>
        <v>125.12762499999999</v>
      </c>
      <c r="BC38" s="263">
        <f t="shared" si="54"/>
        <v>-125.12762499999999</v>
      </c>
      <c r="BD38" s="264">
        <f t="shared" si="55"/>
        <v>-57.367697689279545</v>
      </c>
      <c r="BE38" s="279"/>
      <c r="BF38" s="180">
        <f t="shared" si="56"/>
        <v>0.45847348009106342</v>
      </c>
      <c r="BH38" s="266">
        <f t="shared" si="57"/>
        <v>0</v>
      </c>
      <c r="BI38" s="266">
        <f t="shared" si="58"/>
        <v>0</v>
      </c>
      <c r="BJ38" s="263">
        <f t="shared" si="59"/>
        <v>0</v>
      </c>
      <c r="BK38" s="263">
        <f t="shared" si="60"/>
        <v>47.5</v>
      </c>
      <c r="BL38" s="263">
        <f t="shared" si="61"/>
        <v>0</v>
      </c>
      <c r="BM38" s="260">
        <f t="shared" si="18"/>
        <v>0</v>
      </c>
      <c r="BN38" s="264">
        <f t="shared" si="62"/>
        <v>47.5</v>
      </c>
      <c r="BO38" s="263">
        <f t="shared" si="63"/>
        <v>0</v>
      </c>
      <c r="BP38" s="263">
        <f t="shared" si="21"/>
        <v>47.5</v>
      </c>
      <c r="BQ38" s="263">
        <f t="shared" si="22"/>
        <v>0</v>
      </c>
      <c r="BR38" s="263">
        <f t="shared" si="23"/>
        <v>0</v>
      </c>
      <c r="BS38" s="263">
        <f t="shared" si="24"/>
        <v>0</v>
      </c>
      <c r="BT38" s="107">
        <f t="shared" si="42"/>
        <v>0</v>
      </c>
      <c r="BU38" s="264">
        <f t="shared" si="64"/>
        <v>47.5</v>
      </c>
      <c r="BV38" s="264">
        <f t="shared" si="65"/>
        <v>0</v>
      </c>
      <c r="BW38" s="265"/>
      <c r="BX38" s="361">
        <f t="shared" si="26"/>
        <v>0</v>
      </c>
      <c r="BY38" s="499">
        <f t="shared" si="66"/>
        <v>0</v>
      </c>
    </row>
    <row r="39" spans="2:77" ht="15.75" customHeight="1" x14ac:dyDescent="0.3">
      <c r="B39" s="226" t="s">
        <v>163</v>
      </c>
      <c r="J39" s="226" t="s">
        <v>163</v>
      </c>
      <c r="P39" s="21" t="s">
        <v>98</v>
      </c>
      <c r="V39" s="294">
        <f t="shared" si="45"/>
        <v>54148</v>
      </c>
      <c r="W39" s="366">
        <f t="shared" si="29"/>
        <v>22</v>
      </c>
      <c r="X39" s="366" t="str">
        <f t="shared" si="30"/>
        <v>維持管理・運営期間</v>
      </c>
      <c r="Y39" s="106">
        <f t="shared" si="0"/>
        <v>0</v>
      </c>
      <c r="Z39" s="107">
        <f t="shared" si="1"/>
        <v>0</v>
      </c>
      <c r="AA39" s="107">
        <f t="shared" si="2"/>
        <v>0</v>
      </c>
      <c r="AB39" s="107">
        <f t="shared" si="3"/>
        <v>0</v>
      </c>
      <c r="AC39" s="108">
        <f t="shared" si="46"/>
        <v>0</v>
      </c>
      <c r="AD39" s="106">
        <f t="shared" si="47"/>
        <v>0</v>
      </c>
      <c r="AE39" s="107">
        <f t="shared" si="5"/>
        <v>47.5</v>
      </c>
      <c r="AF39" s="107">
        <f t="shared" si="32"/>
        <v>10</v>
      </c>
      <c r="AG39" s="368">
        <f>IF(AND($W39&gt;$O$83, SUM($AA$17:AA38)&gt;0,SUM($AG$17:AG38)&lt;$O$79),$O$82,0)</f>
        <v>64.125</v>
      </c>
      <c r="AH39" s="107">
        <f>IF(SUM($AA$18:$AA38)&gt;0,($O$79-SUM($AG$18:$AG38))*$F$83,0)</f>
        <v>6.2521874999999998</v>
      </c>
      <c r="AI39" s="108">
        <f t="shared" si="48"/>
        <v>127.87718750000001</v>
      </c>
      <c r="AJ39" s="113">
        <f t="shared" si="49"/>
        <v>-127.87718750000001</v>
      </c>
      <c r="AK39" s="115">
        <f t="shared" si="34"/>
        <v>0</v>
      </c>
      <c r="AL39" s="277"/>
      <c r="AM39" s="264">
        <f t="shared" si="50"/>
        <v>-56.491018002284022</v>
      </c>
      <c r="AN39" s="278"/>
      <c r="AO39" s="266">
        <f t="shared" si="8"/>
        <v>0</v>
      </c>
      <c r="AP39" s="263">
        <f t="shared" si="9"/>
        <v>0</v>
      </c>
      <c r="AQ39" s="263">
        <f t="shared" si="10"/>
        <v>0</v>
      </c>
      <c r="AR39" s="260">
        <f t="shared" si="11"/>
        <v>0</v>
      </c>
      <c r="AS39" s="261">
        <f t="shared" si="51"/>
        <v>0</v>
      </c>
      <c r="AT39" s="260">
        <f t="shared" si="52"/>
        <v>0</v>
      </c>
      <c r="AU39" s="260">
        <f t="shared" si="13"/>
        <v>0</v>
      </c>
      <c r="AV39" s="260">
        <f t="shared" si="14"/>
        <v>0</v>
      </c>
      <c r="AW39" s="260">
        <f t="shared" si="15"/>
        <v>47.5</v>
      </c>
      <c r="AX39" s="368">
        <f t="shared" si="36"/>
        <v>6</v>
      </c>
      <c r="AY39" s="260">
        <f t="shared" si="16"/>
        <v>0</v>
      </c>
      <c r="AZ39" s="368">
        <f>IF(AND($W39&gt;$P$83, SUM($AQ$17:AQ38)&gt;0,SUM($AZ$17:AZ38)&lt;$P$79),$P$82,0)</f>
        <v>64.125</v>
      </c>
      <c r="BA39" s="107">
        <f>IF(SUM($AQ$18:$AQ38)&gt;0,($P$79-SUM($AZ$18:$AZ38))*$F$83,0)</f>
        <v>6.2521874999999998</v>
      </c>
      <c r="BB39" s="261">
        <f t="shared" si="53"/>
        <v>123.87718750000001</v>
      </c>
      <c r="BC39" s="263">
        <f t="shared" si="54"/>
        <v>-123.87718750000001</v>
      </c>
      <c r="BD39" s="264">
        <f t="shared" si="55"/>
        <v>-54.723978263400681</v>
      </c>
      <c r="BE39" s="279"/>
      <c r="BF39" s="180">
        <f t="shared" si="56"/>
        <v>0.44175993472083536</v>
      </c>
      <c r="BH39" s="266">
        <f t="shared" si="57"/>
        <v>0</v>
      </c>
      <c r="BI39" s="266">
        <f t="shared" si="58"/>
        <v>0</v>
      </c>
      <c r="BJ39" s="263">
        <f t="shared" si="59"/>
        <v>0</v>
      </c>
      <c r="BK39" s="263">
        <f t="shared" si="60"/>
        <v>47.5</v>
      </c>
      <c r="BL39" s="263">
        <f t="shared" si="61"/>
        <v>0</v>
      </c>
      <c r="BM39" s="260">
        <f t="shared" si="18"/>
        <v>0</v>
      </c>
      <c r="BN39" s="264">
        <f t="shared" si="62"/>
        <v>47.5</v>
      </c>
      <c r="BO39" s="263">
        <f t="shared" si="63"/>
        <v>0</v>
      </c>
      <c r="BP39" s="263">
        <f t="shared" si="21"/>
        <v>47.5</v>
      </c>
      <c r="BQ39" s="263">
        <f t="shared" si="22"/>
        <v>0</v>
      </c>
      <c r="BR39" s="263">
        <f t="shared" si="23"/>
        <v>0</v>
      </c>
      <c r="BS39" s="263">
        <f t="shared" si="24"/>
        <v>0</v>
      </c>
      <c r="BT39" s="107">
        <f t="shared" si="42"/>
        <v>0</v>
      </c>
      <c r="BU39" s="264">
        <f t="shared" si="64"/>
        <v>47.5</v>
      </c>
      <c r="BV39" s="264">
        <f t="shared" si="65"/>
        <v>0</v>
      </c>
      <c r="BW39" s="265"/>
      <c r="BX39" s="361">
        <f t="shared" si="26"/>
        <v>0</v>
      </c>
      <c r="BY39" s="499">
        <f t="shared" si="66"/>
        <v>0</v>
      </c>
    </row>
    <row r="40" spans="2:77" ht="15.75" customHeight="1" x14ac:dyDescent="0.45">
      <c r="B40" s="119"/>
      <c r="C40" s="21" t="s">
        <v>164</v>
      </c>
      <c r="D40" s="191" t="s">
        <v>25</v>
      </c>
      <c r="F40" s="415"/>
      <c r="H40" s="120" t="s">
        <v>160</v>
      </c>
      <c r="J40" s="312"/>
      <c r="K40" s="119" t="s">
        <v>165</v>
      </c>
      <c r="N40" s="191" t="s">
        <v>25</v>
      </c>
      <c r="O40" s="169"/>
      <c r="P40" s="121">
        <f>SUM(F40:F42)</f>
        <v>0</v>
      </c>
      <c r="V40" s="294">
        <f t="shared" si="45"/>
        <v>54513</v>
      </c>
      <c r="W40" s="366">
        <f t="shared" si="29"/>
        <v>23</v>
      </c>
      <c r="X40" s="366" t="str">
        <f t="shared" si="30"/>
        <v>維持管理・運営期間</v>
      </c>
      <c r="Y40" s="106">
        <f t="shared" si="0"/>
        <v>0</v>
      </c>
      <c r="Z40" s="107">
        <f t="shared" si="1"/>
        <v>0</v>
      </c>
      <c r="AA40" s="107">
        <f t="shared" si="2"/>
        <v>0</v>
      </c>
      <c r="AB40" s="107">
        <f t="shared" si="3"/>
        <v>0</v>
      </c>
      <c r="AC40" s="108">
        <f t="shared" si="46"/>
        <v>0</v>
      </c>
      <c r="AD40" s="106">
        <f t="shared" si="47"/>
        <v>0</v>
      </c>
      <c r="AE40" s="107">
        <f t="shared" si="5"/>
        <v>47.5</v>
      </c>
      <c r="AF40" s="107">
        <f t="shared" si="32"/>
        <v>10</v>
      </c>
      <c r="AG40" s="368">
        <f>IF(AND($W40&gt;$O$83, SUM($AA$17:AA39)&gt;0,SUM($AG$17:AG39)&lt;$O$79),$O$82,0)</f>
        <v>64.125</v>
      </c>
      <c r="AH40" s="107">
        <f>IF(SUM($AA$18:$AA39)&gt;0,($O$79-SUM($AG$18:$AG39))*$F$83,0)</f>
        <v>5.0017500000000004</v>
      </c>
      <c r="AI40" s="108">
        <f t="shared" si="48"/>
        <v>126.62675</v>
      </c>
      <c r="AJ40" s="113">
        <f t="shared" si="49"/>
        <v>-126.62675</v>
      </c>
      <c r="AK40" s="115">
        <f t="shared" si="34"/>
        <v>0</v>
      </c>
      <c r="AL40" s="277"/>
      <c r="AM40" s="264">
        <f t="shared" si="50"/>
        <v>-53.899395099709146</v>
      </c>
      <c r="AN40" s="278"/>
      <c r="AO40" s="266">
        <f t="shared" si="8"/>
        <v>0</v>
      </c>
      <c r="AP40" s="263">
        <f t="shared" si="9"/>
        <v>0</v>
      </c>
      <c r="AQ40" s="263">
        <f t="shared" si="10"/>
        <v>0</v>
      </c>
      <c r="AR40" s="260">
        <f t="shared" si="11"/>
        <v>0</v>
      </c>
      <c r="AS40" s="261">
        <f t="shared" si="51"/>
        <v>0</v>
      </c>
      <c r="AT40" s="260">
        <f t="shared" si="52"/>
        <v>0</v>
      </c>
      <c r="AU40" s="260">
        <f t="shared" si="13"/>
        <v>0</v>
      </c>
      <c r="AV40" s="260">
        <f t="shared" si="14"/>
        <v>0</v>
      </c>
      <c r="AW40" s="260">
        <f t="shared" si="15"/>
        <v>47.5</v>
      </c>
      <c r="AX40" s="368">
        <f t="shared" si="36"/>
        <v>6</v>
      </c>
      <c r="AY40" s="260">
        <f t="shared" si="16"/>
        <v>0</v>
      </c>
      <c r="AZ40" s="368">
        <f>IF(AND($W40&gt;$P$83, SUM($AQ$17:AQ39)&gt;0,SUM($AZ$17:AZ39)&lt;$P$79),$P$82,0)</f>
        <v>64.125</v>
      </c>
      <c r="BA40" s="107">
        <f>IF(SUM($AQ$18:$AQ39)&gt;0,($P$79-SUM($AZ$18:$AZ39))*$F$83,0)</f>
        <v>5.0017500000000004</v>
      </c>
      <c r="BB40" s="261">
        <f t="shared" si="53"/>
        <v>122.62675</v>
      </c>
      <c r="BC40" s="263">
        <f t="shared" si="54"/>
        <v>-122.62675</v>
      </c>
      <c r="BD40" s="264">
        <f t="shared" si="55"/>
        <v>-52.196772388482358</v>
      </c>
      <c r="BE40" s="279"/>
      <c r="BF40" s="180">
        <f t="shared" si="56"/>
        <v>0.42565567780669683</v>
      </c>
      <c r="BH40" s="266">
        <f t="shared" si="57"/>
        <v>0</v>
      </c>
      <c r="BI40" s="266">
        <f t="shared" si="58"/>
        <v>0</v>
      </c>
      <c r="BJ40" s="263">
        <f t="shared" si="59"/>
        <v>0</v>
      </c>
      <c r="BK40" s="263">
        <f t="shared" si="60"/>
        <v>47.5</v>
      </c>
      <c r="BL40" s="263">
        <f t="shared" si="61"/>
        <v>0</v>
      </c>
      <c r="BM40" s="260">
        <f t="shared" si="18"/>
        <v>0</v>
      </c>
      <c r="BN40" s="264">
        <f t="shared" si="62"/>
        <v>47.5</v>
      </c>
      <c r="BO40" s="263">
        <f t="shared" si="63"/>
        <v>0</v>
      </c>
      <c r="BP40" s="263">
        <f t="shared" si="21"/>
        <v>47.5</v>
      </c>
      <c r="BQ40" s="263">
        <f t="shared" si="22"/>
        <v>0</v>
      </c>
      <c r="BR40" s="263">
        <f t="shared" si="23"/>
        <v>0</v>
      </c>
      <c r="BS40" s="263">
        <f t="shared" si="24"/>
        <v>0</v>
      </c>
      <c r="BT40" s="107">
        <f t="shared" si="42"/>
        <v>0</v>
      </c>
      <c r="BU40" s="264">
        <f t="shared" si="64"/>
        <v>47.5</v>
      </c>
      <c r="BV40" s="264">
        <f t="shared" si="65"/>
        <v>0</v>
      </c>
      <c r="BW40" s="265"/>
      <c r="BX40" s="361">
        <f t="shared" si="26"/>
        <v>0</v>
      </c>
      <c r="BY40" s="499">
        <f t="shared" si="66"/>
        <v>0</v>
      </c>
    </row>
    <row r="41" spans="2:77" ht="15.75" customHeight="1" x14ac:dyDescent="0.3">
      <c r="C41" s="21" t="s">
        <v>166</v>
      </c>
      <c r="D41" s="191" t="s">
        <v>25</v>
      </c>
      <c r="F41" s="431"/>
      <c r="H41" s="120" t="s">
        <v>160</v>
      </c>
      <c r="J41" s="35"/>
      <c r="V41" s="294">
        <f t="shared" si="45"/>
        <v>54878</v>
      </c>
      <c r="W41" s="366">
        <f t="shared" si="29"/>
        <v>24</v>
      </c>
      <c r="X41" s="366" t="str">
        <f t="shared" si="30"/>
        <v>-</v>
      </c>
      <c r="Y41" s="106">
        <f t="shared" si="0"/>
        <v>0</v>
      </c>
      <c r="Z41" s="107">
        <f t="shared" si="1"/>
        <v>0</v>
      </c>
      <c r="AA41" s="107">
        <f t="shared" si="2"/>
        <v>0</v>
      </c>
      <c r="AB41" s="107">
        <f t="shared" si="3"/>
        <v>0</v>
      </c>
      <c r="AC41" s="108">
        <f t="shared" si="46"/>
        <v>0</v>
      </c>
      <c r="AD41" s="106">
        <f t="shared" si="47"/>
        <v>0</v>
      </c>
      <c r="AE41" s="107">
        <f t="shared" si="5"/>
        <v>0</v>
      </c>
      <c r="AF41" s="107">
        <f t="shared" si="32"/>
        <v>0</v>
      </c>
      <c r="AG41" s="368">
        <f>IF(AND($W41&gt;$O$83, SUM($AA$17:AA40)&gt;0,SUM($AG$17:AG40)&lt;$O$79),$O$82,0)</f>
        <v>64.125</v>
      </c>
      <c r="AH41" s="107">
        <f>IF(SUM($AA$18:$AA40)&gt;0,($O$79-SUM($AG$18:$AG40))*$F$83,0)</f>
        <v>3.7513125</v>
      </c>
      <c r="AI41" s="108">
        <f t="shared" si="48"/>
        <v>67.876312499999997</v>
      </c>
      <c r="AJ41" s="113">
        <f t="shared" si="49"/>
        <v>-67.876312499999997</v>
      </c>
      <c r="AK41" s="115">
        <f t="shared" si="34"/>
        <v>0</v>
      </c>
      <c r="AL41" s="277"/>
      <c r="AM41" s="264">
        <f t="shared" si="50"/>
        <v>-27.838688850246445</v>
      </c>
      <c r="AN41" s="278"/>
      <c r="AO41" s="266">
        <f t="shared" si="8"/>
        <v>0</v>
      </c>
      <c r="AP41" s="263">
        <f t="shared" si="9"/>
        <v>0</v>
      </c>
      <c r="AQ41" s="263">
        <f t="shared" si="10"/>
        <v>0</v>
      </c>
      <c r="AR41" s="260">
        <f t="shared" si="11"/>
        <v>0</v>
      </c>
      <c r="AS41" s="261">
        <f t="shared" si="51"/>
        <v>0</v>
      </c>
      <c r="AT41" s="260">
        <f t="shared" si="52"/>
        <v>0</v>
      </c>
      <c r="AU41" s="260">
        <f t="shared" si="13"/>
        <v>0</v>
      </c>
      <c r="AV41" s="260">
        <f t="shared" si="14"/>
        <v>0</v>
      </c>
      <c r="AW41" s="260">
        <f t="shared" si="15"/>
        <v>0</v>
      </c>
      <c r="AX41" s="368">
        <f t="shared" si="36"/>
        <v>0</v>
      </c>
      <c r="AY41" s="260">
        <f t="shared" si="16"/>
        <v>0</v>
      </c>
      <c r="AZ41" s="368">
        <f>IF(AND($W41&gt;$P$83, SUM($AQ$17:AQ40)&gt;0,SUM($AZ$17:AZ40)&lt;$P$79),$P$82,0)</f>
        <v>64.125</v>
      </c>
      <c r="BA41" s="107">
        <f>IF(SUM($AQ$18:$AQ40)&gt;0,($P$79-SUM($AZ$18:$AZ40))*$F$83,0)</f>
        <v>3.7513125</v>
      </c>
      <c r="BB41" s="261">
        <f t="shared" si="53"/>
        <v>67.876312499999997</v>
      </c>
      <c r="BC41" s="263">
        <f t="shared" si="54"/>
        <v>-67.876312499999997</v>
      </c>
      <c r="BD41" s="264">
        <f t="shared" si="55"/>
        <v>-27.838688850246445</v>
      </c>
      <c r="BE41" s="279"/>
      <c r="BF41" s="180">
        <f t="shared" si="56"/>
        <v>0.41013849787798129</v>
      </c>
      <c r="BH41" s="266">
        <f t="shared" si="57"/>
        <v>0</v>
      </c>
      <c r="BI41" s="266">
        <f t="shared" si="58"/>
        <v>0</v>
      </c>
      <c r="BJ41" s="263">
        <f t="shared" si="59"/>
        <v>0</v>
      </c>
      <c r="BK41" s="263">
        <f t="shared" si="60"/>
        <v>0</v>
      </c>
      <c r="BL41" s="263">
        <f t="shared" si="61"/>
        <v>0</v>
      </c>
      <c r="BM41" s="260">
        <f t="shared" si="18"/>
        <v>0</v>
      </c>
      <c r="BN41" s="264">
        <f t="shared" si="62"/>
        <v>0</v>
      </c>
      <c r="BO41" s="263">
        <f t="shared" si="63"/>
        <v>0</v>
      </c>
      <c r="BP41" s="263">
        <f t="shared" si="21"/>
        <v>0</v>
      </c>
      <c r="BQ41" s="263">
        <f t="shared" si="22"/>
        <v>0</v>
      </c>
      <c r="BR41" s="263">
        <f t="shared" si="23"/>
        <v>0</v>
      </c>
      <c r="BS41" s="263">
        <f t="shared" si="24"/>
        <v>0</v>
      </c>
      <c r="BT41" s="107">
        <f t="shared" si="42"/>
        <v>0</v>
      </c>
      <c r="BU41" s="264">
        <f t="shared" si="64"/>
        <v>0</v>
      </c>
      <c r="BV41" s="264">
        <f t="shared" si="65"/>
        <v>0</v>
      </c>
      <c r="BW41" s="265"/>
      <c r="BX41" s="361">
        <f t="shared" si="26"/>
        <v>0</v>
      </c>
      <c r="BY41" s="499">
        <f t="shared" si="66"/>
        <v>0</v>
      </c>
    </row>
    <row r="42" spans="2:77" ht="15.75" customHeight="1" x14ac:dyDescent="0.45">
      <c r="C42" s="21" t="s">
        <v>167</v>
      </c>
      <c r="D42" s="191" t="s">
        <v>25</v>
      </c>
      <c r="F42" s="415"/>
      <c r="H42" s="120" t="s">
        <v>160</v>
      </c>
      <c r="V42" s="294">
        <f t="shared" si="45"/>
        <v>55243</v>
      </c>
      <c r="W42" s="366">
        <f t="shared" si="29"/>
        <v>25</v>
      </c>
      <c r="X42" s="366" t="str">
        <f t="shared" si="30"/>
        <v>-</v>
      </c>
      <c r="Y42" s="106">
        <f t="shared" si="0"/>
        <v>0</v>
      </c>
      <c r="Z42" s="107">
        <f t="shared" si="1"/>
        <v>0</v>
      </c>
      <c r="AA42" s="107">
        <f t="shared" si="2"/>
        <v>0</v>
      </c>
      <c r="AB42" s="107">
        <f t="shared" si="3"/>
        <v>0</v>
      </c>
      <c r="AC42" s="108">
        <f t="shared" si="46"/>
        <v>0</v>
      </c>
      <c r="AD42" s="106">
        <f t="shared" si="47"/>
        <v>0</v>
      </c>
      <c r="AE42" s="107">
        <f t="shared" si="5"/>
        <v>0</v>
      </c>
      <c r="AF42" s="107">
        <f t="shared" si="32"/>
        <v>0</v>
      </c>
      <c r="AG42" s="368">
        <f>IF(AND($W42&gt;$O$83, SUM($AA$17:AA41)&gt;0,SUM($AG$17:AG41)&lt;$O$79),$O$82,0)</f>
        <v>64.125</v>
      </c>
      <c r="AH42" s="107">
        <f>IF(SUM($AA$18:$AA41)&gt;0,($O$79-SUM($AG$18:$AG41))*$F$83,0)</f>
        <v>2.5008750000000002</v>
      </c>
      <c r="AI42" s="108">
        <f t="shared" si="48"/>
        <v>66.625874999999994</v>
      </c>
      <c r="AJ42" s="113">
        <f t="shared" si="49"/>
        <v>-66.625874999999994</v>
      </c>
      <c r="AK42" s="115">
        <f t="shared" si="34"/>
        <v>0</v>
      </c>
      <c r="AL42" s="277"/>
      <c r="AM42" s="264">
        <f t="shared" si="50"/>
        <v>-26.329679209108726</v>
      </c>
      <c r="AN42" s="278"/>
      <c r="AO42" s="266">
        <f t="shared" si="8"/>
        <v>0</v>
      </c>
      <c r="AP42" s="263">
        <f t="shared" si="9"/>
        <v>0</v>
      </c>
      <c r="AQ42" s="263">
        <f t="shared" si="10"/>
        <v>0</v>
      </c>
      <c r="AR42" s="260">
        <f t="shared" si="11"/>
        <v>0</v>
      </c>
      <c r="AS42" s="261">
        <f t="shared" si="51"/>
        <v>0</v>
      </c>
      <c r="AT42" s="260">
        <f t="shared" si="52"/>
        <v>0</v>
      </c>
      <c r="AU42" s="260">
        <f t="shared" si="13"/>
        <v>0</v>
      </c>
      <c r="AV42" s="260">
        <f t="shared" si="14"/>
        <v>0</v>
      </c>
      <c r="AW42" s="260">
        <f t="shared" si="15"/>
        <v>0</v>
      </c>
      <c r="AX42" s="368">
        <f t="shared" si="36"/>
        <v>0</v>
      </c>
      <c r="AY42" s="260">
        <f t="shared" si="16"/>
        <v>0</v>
      </c>
      <c r="AZ42" s="368">
        <f>IF(AND($W42&gt;$P$83, SUM($AQ$17:AQ41)&gt;0,SUM($AZ$17:AZ41)&lt;$P$79),$P$82,0)</f>
        <v>64.125</v>
      </c>
      <c r="BA42" s="107">
        <f>IF(SUM($AQ$18:$AQ41)&gt;0,($P$79-SUM($AZ$18:$AZ41))*$F$83,0)</f>
        <v>2.5008750000000002</v>
      </c>
      <c r="BB42" s="261">
        <f t="shared" si="53"/>
        <v>66.625874999999994</v>
      </c>
      <c r="BC42" s="263">
        <f t="shared" si="54"/>
        <v>-66.625874999999994</v>
      </c>
      <c r="BD42" s="264">
        <f t="shared" si="55"/>
        <v>-26.329679209108726</v>
      </c>
      <c r="BE42" s="280"/>
      <c r="BF42" s="180">
        <f t="shared" si="56"/>
        <v>0.39518699317808176</v>
      </c>
      <c r="BH42" s="266">
        <f t="shared" si="57"/>
        <v>0</v>
      </c>
      <c r="BI42" s="266">
        <f t="shared" si="58"/>
        <v>0</v>
      </c>
      <c r="BJ42" s="263">
        <f t="shared" si="59"/>
        <v>0</v>
      </c>
      <c r="BK42" s="263">
        <f t="shared" si="60"/>
        <v>0</v>
      </c>
      <c r="BL42" s="263">
        <f t="shared" si="61"/>
        <v>0</v>
      </c>
      <c r="BM42" s="260">
        <f t="shared" si="18"/>
        <v>0</v>
      </c>
      <c r="BN42" s="264">
        <f t="shared" si="62"/>
        <v>0</v>
      </c>
      <c r="BO42" s="263">
        <f t="shared" si="63"/>
        <v>0</v>
      </c>
      <c r="BP42" s="263">
        <f t="shared" si="21"/>
        <v>0</v>
      </c>
      <c r="BQ42" s="263">
        <f t="shared" si="22"/>
        <v>0</v>
      </c>
      <c r="BR42" s="263">
        <f t="shared" si="23"/>
        <v>0</v>
      </c>
      <c r="BS42" s="263">
        <f t="shared" si="24"/>
        <v>0</v>
      </c>
      <c r="BT42" s="107">
        <f t="shared" si="42"/>
        <v>0</v>
      </c>
      <c r="BU42" s="264">
        <f t="shared" si="64"/>
        <v>0</v>
      </c>
      <c r="BV42" s="264">
        <f t="shared" si="65"/>
        <v>0</v>
      </c>
      <c r="BW42" s="265"/>
      <c r="BX42" s="361">
        <f t="shared" si="26"/>
        <v>0</v>
      </c>
      <c r="BY42" s="499">
        <f t="shared" si="66"/>
        <v>0</v>
      </c>
    </row>
    <row r="43" spans="2:77" ht="15.75" customHeight="1" x14ac:dyDescent="0.3">
      <c r="C43" s="421"/>
      <c r="D43" s="21"/>
      <c r="V43" s="294">
        <f t="shared" si="45"/>
        <v>55609</v>
      </c>
      <c r="W43" s="366">
        <f t="shared" si="29"/>
        <v>26</v>
      </c>
      <c r="X43" s="366" t="str">
        <f t="shared" si="30"/>
        <v>-</v>
      </c>
      <c r="Y43" s="106">
        <f t="shared" si="0"/>
        <v>0</v>
      </c>
      <c r="Z43" s="107">
        <f t="shared" si="1"/>
        <v>0</v>
      </c>
      <c r="AA43" s="107">
        <f t="shared" si="2"/>
        <v>0</v>
      </c>
      <c r="AB43" s="107">
        <f t="shared" si="3"/>
        <v>0</v>
      </c>
      <c r="AC43" s="108">
        <f t="shared" si="46"/>
        <v>0</v>
      </c>
      <c r="AD43" s="106">
        <f t="shared" si="47"/>
        <v>0</v>
      </c>
      <c r="AE43" s="107">
        <f t="shared" si="5"/>
        <v>0</v>
      </c>
      <c r="AF43" s="107">
        <f t="shared" si="32"/>
        <v>0</v>
      </c>
      <c r="AG43" s="368">
        <f>IF(AND($W43&gt;$O$83, SUM($AA$17:AA42)&gt;0,SUM($AG$17:AG42)&lt;$O$79),$O$82,0)</f>
        <v>64.125</v>
      </c>
      <c r="AH43" s="107">
        <f>IF(SUM($AA$18:$AA42)&gt;0,($O$79-SUM($AG$18:$AG42))*$F$83,0)</f>
        <v>1.2504375000000001</v>
      </c>
      <c r="AI43" s="108">
        <f t="shared" si="48"/>
        <v>65.375437500000004</v>
      </c>
      <c r="AJ43" s="113">
        <f t="shared" si="49"/>
        <v>-65.375437500000004</v>
      </c>
      <c r="AK43" s="115">
        <f t="shared" si="34"/>
        <v>0</v>
      </c>
      <c r="AL43" s="277"/>
      <c r="AM43" s="264">
        <f t="shared" si="50"/>
        <v>-24.893694534315326</v>
      </c>
      <c r="AN43" s="278"/>
      <c r="AO43" s="266">
        <f t="shared" si="8"/>
        <v>0</v>
      </c>
      <c r="AP43" s="263">
        <f t="shared" si="9"/>
        <v>0</v>
      </c>
      <c r="AQ43" s="263">
        <f t="shared" si="10"/>
        <v>0</v>
      </c>
      <c r="AR43" s="260">
        <f t="shared" si="11"/>
        <v>0</v>
      </c>
      <c r="AS43" s="261">
        <f t="shared" si="51"/>
        <v>0</v>
      </c>
      <c r="AT43" s="260">
        <f t="shared" si="52"/>
        <v>0</v>
      </c>
      <c r="AU43" s="260">
        <f t="shared" si="13"/>
        <v>0</v>
      </c>
      <c r="AV43" s="260">
        <f t="shared" si="14"/>
        <v>0</v>
      </c>
      <c r="AW43" s="260">
        <f t="shared" si="15"/>
        <v>0</v>
      </c>
      <c r="AX43" s="368">
        <f t="shared" si="36"/>
        <v>0</v>
      </c>
      <c r="AY43" s="260">
        <f t="shared" si="16"/>
        <v>0</v>
      </c>
      <c r="AZ43" s="368">
        <f>IF(AND($W43&gt;$P$83, SUM($AQ$17:AQ42)&gt;0,SUM($AZ$17:AZ42)&lt;$P$79),$P$82,0)</f>
        <v>64.125</v>
      </c>
      <c r="BA43" s="107">
        <f>IF(SUM($AQ$18:$AQ42)&gt;0,($P$79-SUM($AZ$18:$AZ42))*$F$83,0)</f>
        <v>1.2504375000000001</v>
      </c>
      <c r="BB43" s="261">
        <f t="shared" si="53"/>
        <v>65.375437500000004</v>
      </c>
      <c r="BC43" s="263">
        <f t="shared" si="54"/>
        <v>-65.375437500000004</v>
      </c>
      <c r="BD43" s="264">
        <f t="shared" si="55"/>
        <v>-24.893694534315326</v>
      </c>
      <c r="BE43" s="280"/>
      <c r="BF43" s="180">
        <f t="shared" si="56"/>
        <v>0.38078054214651069</v>
      </c>
      <c r="BH43" s="266">
        <f t="shared" si="57"/>
        <v>0</v>
      </c>
      <c r="BI43" s="266">
        <f t="shared" si="58"/>
        <v>0</v>
      </c>
      <c r="BJ43" s="263">
        <f t="shared" si="59"/>
        <v>0</v>
      </c>
      <c r="BK43" s="263">
        <f t="shared" si="60"/>
        <v>0</v>
      </c>
      <c r="BL43" s="263">
        <f t="shared" si="61"/>
        <v>0</v>
      </c>
      <c r="BM43" s="260">
        <f t="shared" si="18"/>
        <v>0</v>
      </c>
      <c r="BN43" s="264">
        <f t="shared" si="62"/>
        <v>0</v>
      </c>
      <c r="BO43" s="263">
        <f t="shared" si="63"/>
        <v>0</v>
      </c>
      <c r="BP43" s="263">
        <f t="shared" si="21"/>
        <v>0</v>
      </c>
      <c r="BQ43" s="263">
        <f t="shared" si="22"/>
        <v>0</v>
      </c>
      <c r="BR43" s="263">
        <f t="shared" si="23"/>
        <v>0</v>
      </c>
      <c r="BS43" s="263">
        <f t="shared" si="24"/>
        <v>0</v>
      </c>
      <c r="BT43" s="107">
        <f t="shared" si="42"/>
        <v>0</v>
      </c>
      <c r="BU43" s="264">
        <f t="shared" si="64"/>
        <v>0</v>
      </c>
      <c r="BV43" s="264">
        <f t="shared" si="65"/>
        <v>0</v>
      </c>
      <c r="BW43" s="265"/>
      <c r="BX43" s="361">
        <f t="shared" si="26"/>
        <v>0</v>
      </c>
      <c r="BY43" s="499">
        <f t="shared" si="66"/>
        <v>0</v>
      </c>
    </row>
    <row r="44" spans="2:77" ht="15.75" customHeight="1" x14ac:dyDescent="0.3">
      <c r="V44" s="294">
        <f t="shared" si="45"/>
        <v>55974</v>
      </c>
      <c r="W44" s="366">
        <f t="shared" si="29"/>
        <v>27</v>
      </c>
      <c r="X44" s="366" t="str">
        <f t="shared" si="30"/>
        <v>-</v>
      </c>
      <c r="Y44" s="106">
        <f t="shared" si="0"/>
        <v>0</v>
      </c>
      <c r="Z44" s="107">
        <f t="shared" si="1"/>
        <v>0</v>
      </c>
      <c r="AA44" s="107">
        <f t="shared" si="2"/>
        <v>0</v>
      </c>
      <c r="AB44" s="107">
        <f t="shared" si="3"/>
        <v>0</v>
      </c>
      <c r="AC44" s="108">
        <f t="shared" si="46"/>
        <v>0</v>
      </c>
      <c r="AD44" s="106">
        <f t="shared" si="47"/>
        <v>0</v>
      </c>
      <c r="AE44" s="107">
        <f t="shared" si="5"/>
        <v>0</v>
      </c>
      <c r="AF44" s="107">
        <f t="shared" si="32"/>
        <v>0</v>
      </c>
      <c r="AG44" s="368">
        <f>IF(AND($W44&gt;$O$83, SUM($AA$17:AA43)&gt;0,SUM($AG$17:AG43)&lt;$O$79),$O$82,0)</f>
        <v>0</v>
      </c>
      <c r="AH44" s="107">
        <f>IF(SUM($AA$18:$AA43)&gt;0,($O$79-SUM($AG$18:$AG43))*$F$83,0)</f>
        <v>0</v>
      </c>
      <c r="AI44" s="108">
        <f t="shared" si="48"/>
        <v>0</v>
      </c>
      <c r="AJ44" s="113">
        <f t="shared" si="49"/>
        <v>0</v>
      </c>
      <c r="AK44" s="115">
        <f t="shared" si="34"/>
        <v>0</v>
      </c>
      <c r="AL44" s="277"/>
      <c r="AM44" s="264">
        <f t="shared" si="50"/>
        <v>0</v>
      </c>
      <c r="AN44" s="278"/>
      <c r="AO44" s="266">
        <f t="shared" si="8"/>
        <v>0</v>
      </c>
      <c r="AP44" s="263">
        <f t="shared" si="9"/>
        <v>0</v>
      </c>
      <c r="AQ44" s="263">
        <f t="shared" si="10"/>
        <v>0</v>
      </c>
      <c r="AR44" s="260">
        <f t="shared" si="11"/>
        <v>0</v>
      </c>
      <c r="AS44" s="261">
        <f t="shared" si="51"/>
        <v>0</v>
      </c>
      <c r="AT44" s="260">
        <f t="shared" si="52"/>
        <v>0</v>
      </c>
      <c r="AU44" s="260">
        <f t="shared" si="13"/>
        <v>0</v>
      </c>
      <c r="AV44" s="260">
        <f t="shared" si="14"/>
        <v>0</v>
      </c>
      <c r="AW44" s="260">
        <f t="shared" si="15"/>
        <v>0</v>
      </c>
      <c r="AX44" s="368">
        <f t="shared" si="36"/>
        <v>0</v>
      </c>
      <c r="AY44" s="260">
        <f t="shared" si="16"/>
        <v>0</v>
      </c>
      <c r="AZ44" s="368">
        <f>IF(AND($W44&gt;$P$83, SUM($AQ$17:AQ43)&gt;0,SUM($AZ$17:AZ43)&lt;$P$79),$P$82,0)</f>
        <v>0</v>
      </c>
      <c r="BA44" s="107">
        <f>IF(SUM($AQ$18:$AQ43)&gt;0,($P$79-SUM($AZ$18:$AZ43))*$F$83,0)</f>
        <v>0</v>
      </c>
      <c r="BB44" s="261">
        <f t="shared" si="53"/>
        <v>0</v>
      </c>
      <c r="BC44" s="263">
        <f t="shared" si="54"/>
        <v>0</v>
      </c>
      <c r="BD44" s="264">
        <f t="shared" si="55"/>
        <v>0</v>
      </c>
      <c r="BE44" s="280"/>
      <c r="BF44" s="180">
        <f t="shared" si="56"/>
        <v>0.36689927497702979</v>
      </c>
      <c r="BH44" s="266">
        <f t="shared" si="57"/>
        <v>0</v>
      </c>
      <c r="BI44" s="266">
        <f t="shared" si="58"/>
        <v>0</v>
      </c>
      <c r="BJ44" s="263">
        <f t="shared" si="59"/>
        <v>0</v>
      </c>
      <c r="BK44" s="263">
        <f t="shared" si="60"/>
        <v>0</v>
      </c>
      <c r="BL44" s="263">
        <f t="shared" si="61"/>
        <v>0</v>
      </c>
      <c r="BM44" s="260">
        <f t="shared" si="18"/>
        <v>0</v>
      </c>
      <c r="BN44" s="264">
        <f t="shared" si="62"/>
        <v>0</v>
      </c>
      <c r="BO44" s="263">
        <f t="shared" si="63"/>
        <v>0</v>
      </c>
      <c r="BP44" s="263">
        <f t="shared" si="21"/>
        <v>0</v>
      </c>
      <c r="BQ44" s="263">
        <f t="shared" si="22"/>
        <v>0</v>
      </c>
      <c r="BR44" s="263">
        <f t="shared" si="23"/>
        <v>0</v>
      </c>
      <c r="BS44" s="263">
        <f t="shared" si="24"/>
        <v>0</v>
      </c>
      <c r="BT44" s="107">
        <f t="shared" si="42"/>
        <v>0</v>
      </c>
      <c r="BU44" s="264">
        <f t="shared" si="64"/>
        <v>0</v>
      </c>
      <c r="BV44" s="264">
        <f t="shared" si="65"/>
        <v>0</v>
      </c>
      <c r="BW44" s="265"/>
      <c r="BX44" s="361">
        <f t="shared" si="26"/>
        <v>0</v>
      </c>
      <c r="BY44" s="499">
        <f t="shared" si="66"/>
        <v>0</v>
      </c>
    </row>
    <row r="45" spans="2:77" ht="15.75" customHeight="1" x14ac:dyDescent="0.3">
      <c r="B45" s="223" t="s">
        <v>168</v>
      </c>
      <c r="J45" s="223" t="s">
        <v>168</v>
      </c>
      <c r="V45" s="294">
        <f t="shared" si="45"/>
        <v>56339</v>
      </c>
      <c r="W45" s="366">
        <f t="shared" si="29"/>
        <v>28</v>
      </c>
      <c r="X45" s="366" t="str">
        <f t="shared" si="30"/>
        <v>-</v>
      </c>
      <c r="Y45" s="106">
        <f t="shared" si="0"/>
        <v>0</v>
      </c>
      <c r="Z45" s="107">
        <f t="shared" si="1"/>
        <v>0</v>
      </c>
      <c r="AA45" s="107">
        <f t="shared" si="2"/>
        <v>0</v>
      </c>
      <c r="AB45" s="107">
        <f t="shared" si="3"/>
        <v>0</v>
      </c>
      <c r="AC45" s="108">
        <f t="shared" si="46"/>
        <v>0</v>
      </c>
      <c r="AD45" s="106">
        <f t="shared" si="47"/>
        <v>0</v>
      </c>
      <c r="AE45" s="107">
        <f t="shared" si="5"/>
        <v>0</v>
      </c>
      <c r="AF45" s="107">
        <f t="shared" si="32"/>
        <v>0</v>
      </c>
      <c r="AG45" s="368">
        <f>IF(AND($W45&gt;$O$83, SUM($AA$17:AA44)&gt;0,SUM($AG$17:AG44)&lt;$O$79),$O$82,0)</f>
        <v>0</v>
      </c>
      <c r="AH45" s="107">
        <f>IF(SUM($AA$18:$AA44)&gt;0,($O$79-SUM($AG$18:$AG44))*$F$83,0)</f>
        <v>0</v>
      </c>
      <c r="AI45" s="108">
        <f t="shared" si="48"/>
        <v>0</v>
      </c>
      <c r="AJ45" s="113">
        <f t="shared" si="49"/>
        <v>0</v>
      </c>
      <c r="AK45" s="115">
        <f t="shared" si="34"/>
        <v>0</v>
      </c>
      <c r="AL45" s="277"/>
      <c r="AM45" s="264">
        <f t="shared" si="50"/>
        <v>0</v>
      </c>
      <c r="AN45" s="278"/>
      <c r="AO45" s="266">
        <f t="shared" si="8"/>
        <v>0</v>
      </c>
      <c r="AP45" s="263">
        <f t="shared" si="9"/>
        <v>0</v>
      </c>
      <c r="AQ45" s="263">
        <f t="shared" si="10"/>
        <v>0</v>
      </c>
      <c r="AR45" s="260">
        <f t="shared" si="11"/>
        <v>0</v>
      </c>
      <c r="AS45" s="261">
        <f t="shared" si="51"/>
        <v>0</v>
      </c>
      <c r="AT45" s="260">
        <f t="shared" si="52"/>
        <v>0</v>
      </c>
      <c r="AU45" s="260">
        <f t="shared" si="13"/>
        <v>0</v>
      </c>
      <c r="AV45" s="260">
        <f t="shared" si="14"/>
        <v>0</v>
      </c>
      <c r="AW45" s="260">
        <f t="shared" si="15"/>
        <v>0</v>
      </c>
      <c r="AX45" s="368">
        <f t="shared" si="36"/>
        <v>0</v>
      </c>
      <c r="AY45" s="260">
        <f t="shared" si="16"/>
        <v>0</v>
      </c>
      <c r="AZ45" s="368">
        <f>IF(AND($W45&gt;$P$83, SUM($AQ$17:AQ44)&gt;0,SUM($AZ$17:AZ44)&lt;$P$79),$P$82,0)</f>
        <v>0</v>
      </c>
      <c r="BA45" s="107">
        <f>IF(SUM($AQ$18:$AQ44)&gt;0,($P$79-SUM($AZ$18:$AZ44))*$F$83,0)</f>
        <v>0</v>
      </c>
      <c r="BB45" s="261">
        <f t="shared" si="53"/>
        <v>0</v>
      </c>
      <c r="BC45" s="263">
        <f t="shared" si="54"/>
        <v>0</v>
      </c>
      <c r="BD45" s="264">
        <f t="shared" si="55"/>
        <v>0</v>
      </c>
      <c r="BE45" s="280"/>
      <c r="BF45" s="180">
        <f t="shared" si="56"/>
        <v>0.35352404621262151</v>
      </c>
      <c r="BH45" s="266">
        <f t="shared" si="57"/>
        <v>0</v>
      </c>
      <c r="BI45" s="266">
        <f t="shared" si="58"/>
        <v>0</v>
      </c>
      <c r="BJ45" s="263">
        <f t="shared" si="59"/>
        <v>0</v>
      </c>
      <c r="BK45" s="263">
        <f t="shared" si="60"/>
        <v>0</v>
      </c>
      <c r="BL45" s="263">
        <f t="shared" si="61"/>
        <v>0</v>
      </c>
      <c r="BM45" s="260">
        <f t="shared" si="18"/>
        <v>0</v>
      </c>
      <c r="BN45" s="264">
        <f t="shared" si="62"/>
        <v>0</v>
      </c>
      <c r="BO45" s="263">
        <f t="shared" si="63"/>
        <v>0</v>
      </c>
      <c r="BP45" s="263">
        <f t="shared" si="21"/>
        <v>0</v>
      </c>
      <c r="BQ45" s="263">
        <f t="shared" si="22"/>
        <v>0</v>
      </c>
      <c r="BR45" s="263">
        <f t="shared" si="23"/>
        <v>0</v>
      </c>
      <c r="BS45" s="263">
        <f t="shared" si="24"/>
        <v>0</v>
      </c>
      <c r="BT45" s="107">
        <f t="shared" si="42"/>
        <v>0</v>
      </c>
      <c r="BU45" s="264">
        <f t="shared" si="64"/>
        <v>0</v>
      </c>
      <c r="BV45" s="264">
        <f t="shared" si="65"/>
        <v>0</v>
      </c>
      <c r="BW45" s="265"/>
      <c r="BX45" s="361">
        <f t="shared" si="26"/>
        <v>0</v>
      </c>
      <c r="BY45" s="499">
        <f t="shared" si="66"/>
        <v>0</v>
      </c>
    </row>
    <row r="46" spans="2:77" ht="15.75" customHeight="1" x14ac:dyDescent="0.45">
      <c r="D46" s="191" t="s">
        <v>21</v>
      </c>
      <c r="F46" s="311">
        <f>SUM(F47:F48)</f>
        <v>50</v>
      </c>
      <c r="J46" s="35"/>
      <c r="K46" s="119" t="s">
        <v>170</v>
      </c>
      <c r="N46" s="191" t="s">
        <v>21</v>
      </c>
      <c r="O46" s="91">
        <f>F46*F65</f>
        <v>47.5</v>
      </c>
      <c r="P46" s="91">
        <f>F46*(1-F67)</f>
        <v>47.5</v>
      </c>
      <c r="Q46" s="21" t="s">
        <v>155</v>
      </c>
      <c r="V46" s="294">
        <f t="shared" si="45"/>
        <v>56704</v>
      </c>
      <c r="W46" s="366">
        <f t="shared" si="29"/>
        <v>29</v>
      </c>
      <c r="X46" s="366" t="str">
        <f t="shared" si="30"/>
        <v>-</v>
      </c>
      <c r="Y46" s="106">
        <f t="shared" si="0"/>
        <v>0</v>
      </c>
      <c r="Z46" s="107">
        <f t="shared" si="1"/>
        <v>0</v>
      </c>
      <c r="AA46" s="107">
        <f t="shared" si="2"/>
        <v>0</v>
      </c>
      <c r="AB46" s="107">
        <f t="shared" si="3"/>
        <v>0</v>
      </c>
      <c r="AC46" s="108">
        <f t="shared" si="46"/>
        <v>0</v>
      </c>
      <c r="AD46" s="106">
        <f t="shared" si="47"/>
        <v>0</v>
      </c>
      <c r="AE46" s="107">
        <f t="shared" si="5"/>
        <v>0</v>
      </c>
      <c r="AF46" s="107">
        <f t="shared" si="32"/>
        <v>0</v>
      </c>
      <c r="AG46" s="368">
        <f>IF(AND($W46&gt;$O$83, SUM($AA$17:AA45)&gt;0,SUM($AG$17:AG45)&lt;$O$79),$O$82,0)</f>
        <v>0</v>
      </c>
      <c r="AH46" s="107">
        <f>IF(SUM($AA$18:$AA45)&gt;0,($O$79-SUM($AG$18:$AG45))*$F$83,0)</f>
        <v>0</v>
      </c>
      <c r="AI46" s="108">
        <f t="shared" si="48"/>
        <v>0</v>
      </c>
      <c r="AJ46" s="113">
        <f t="shared" si="49"/>
        <v>0</v>
      </c>
      <c r="AK46" s="115">
        <f t="shared" si="34"/>
        <v>0</v>
      </c>
      <c r="AL46" s="277"/>
      <c r="AM46" s="264">
        <f t="shared" si="50"/>
        <v>0</v>
      </c>
      <c r="AN46" s="278"/>
      <c r="AO46" s="266">
        <f t="shared" si="8"/>
        <v>0</v>
      </c>
      <c r="AP46" s="263">
        <f t="shared" si="9"/>
        <v>0</v>
      </c>
      <c r="AQ46" s="263">
        <f t="shared" si="10"/>
        <v>0</v>
      </c>
      <c r="AR46" s="260">
        <f t="shared" si="11"/>
        <v>0</v>
      </c>
      <c r="AS46" s="261">
        <f t="shared" si="51"/>
        <v>0</v>
      </c>
      <c r="AT46" s="260">
        <f t="shared" si="52"/>
        <v>0</v>
      </c>
      <c r="AU46" s="260">
        <f t="shared" si="13"/>
        <v>0</v>
      </c>
      <c r="AV46" s="260">
        <f t="shared" si="14"/>
        <v>0</v>
      </c>
      <c r="AW46" s="260">
        <f t="shared" si="15"/>
        <v>0</v>
      </c>
      <c r="AX46" s="368">
        <f t="shared" si="36"/>
        <v>0</v>
      </c>
      <c r="AY46" s="260">
        <f t="shared" si="16"/>
        <v>0</v>
      </c>
      <c r="AZ46" s="368">
        <f>IF(AND($W46&gt;$P$83, SUM($AQ$17:AQ45)&gt;0,SUM($AZ$17:AZ45)&lt;$P$79),$P$82,0)</f>
        <v>0</v>
      </c>
      <c r="BA46" s="107">
        <f>IF(SUM($AQ$18:$AQ45)&gt;0,($P$79-SUM($AZ$18:$AZ45))*$F$83,0)</f>
        <v>0</v>
      </c>
      <c r="BB46" s="261">
        <f t="shared" si="53"/>
        <v>0</v>
      </c>
      <c r="BC46" s="263">
        <f t="shared" si="54"/>
        <v>0</v>
      </c>
      <c r="BD46" s="264">
        <f t="shared" si="55"/>
        <v>0</v>
      </c>
      <c r="BE46" s="280"/>
      <c r="BF46" s="180">
        <f t="shared" si="56"/>
        <v>0.3406364083395047</v>
      </c>
      <c r="BH46" s="266">
        <f t="shared" si="57"/>
        <v>0</v>
      </c>
      <c r="BI46" s="266">
        <f t="shared" si="58"/>
        <v>0</v>
      </c>
      <c r="BJ46" s="263">
        <f t="shared" si="59"/>
        <v>0</v>
      </c>
      <c r="BK46" s="263">
        <f t="shared" si="60"/>
        <v>0</v>
      </c>
      <c r="BL46" s="263">
        <f t="shared" si="61"/>
        <v>0</v>
      </c>
      <c r="BM46" s="260">
        <f t="shared" si="18"/>
        <v>0</v>
      </c>
      <c r="BN46" s="264">
        <f t="shared" si="62"/>
        <v>0</v>
      </c>
      <c r="BO46" s="263">
        <f t="shared" si="63"/>
        <v>0</v>
      </c>
      <c r="BP46" s="263">
        <f t="shared" si="21"/>
        <v>0</v>
      </c>
      <c r="BQ46" s="263">
        <f t="shared" si="22"/>
        <v>0</v>
      </c>
      <c r="BR46" s="263">
        <f t="shared" si="23"/>
        <v>0</v>
      </c>
      <c r="BS46" s="263">
        <f t="shared" si="24"/>
        <v>0</v>
      </c>
      <c r="BT46" s="107">
        <f t="shared" si="42"/>
        <v>0</v>
      </c>
      <c r="BU46" s="264">
        <f t="shared" si="64"/>
        <v>0</v>
      </c>
      <c r="BV46" s="264">
        <f t="shared" si="65"/>
        <v>0</v>
      </c>
      <c r="BW46" s="265"/>
      <c r="BX46" s="361">
        <f t="shared" si="26"/>
        <v>0</v>
      </c>
      <c r="BY46" s="499">
        <f t="shared" si="66"/>
        <v>0</v>
      </c>
    </row>
    <row r="47" spans="2:77" ht="15.75" customHeight="1" x14ac:dyDescent="0.45">
      <c r="C47" s="21" t="s">
        <v>171</v>
      </c>
      <c r="D47" s="191" t="s">
        <v>21</v>
      </c>
      <c r="F47" s="429">
        <f>事業費用概算!G27</f>
        <v>0</v>
      </c>
      <c r="H47" s="120"/>
      <c r="K47" s="119" t="s">
        <v>172</v>
      </c>
      <c r="N47" s="191" t="s">
        <v>21</v>
      </c>
      <c r="O47" s="169"/>
      <c r="P47" s="91">
        <f>F72</f>
        <v>0</v>
      </c>
      <c r="Q47" s="21" t="s">
        <v>274</v>
      </c>
      <c r="V47" s="294">
        <f t="shared" si="45"/>
        <v>57070</v>
      </c>
      <c r="W47" s="366">
        <f t="shared" si="29"/>
        <v>30</v>
      </c>
      <c r="X47" s="366" t="str">
        <f t="shared" si="30"/>
        <v>-</v>
      </c>
      <c r="Y47" s="106">
        <f t="shared" si="0"/>
        <v>0</v>
      </c>
      <c r="Z47" s="107">
        <f t="shared" si="1"/>
        <v>0</v>
      </c>
      <c r="AA47" s="107">
        <f t="shared" si="2"/>
        <v>0</v>
      </c>
      <c r="AB47" s="107">
        <f t="shared" si="3"/>
        <v>0</v>
      </c>
      <c r="AC47" s="108">
        <f t="shared" si="46"/>
        <v>0</v>
      </c>
      <c r="AD47" s="106">
        <f t="shared" si="47"/>
        <v>0</v>
      </c>
      <c r="AE47" s="107">
        <f t="shared" si="5"/>
        <v>0</v>
      </c>
      <c r="AF47" s="107">
        <f t="shared" si="32"/>
        <v>0</v>
      </c>
      <c r="AG47" s="368">
        <f>IF(AND($W47&gt;$O$83, SUM($AA$17:AA46)&gt;0,SUM($AG$17:AG46)&lt;$O$79),$O$82,0)</f>
        <v>0</v>
      </c>
      <c r="AH47" s="107">
        <f>IF(SUM($AA$18:$AA46)&gt;0,($O$79-SUM($AG$18:$AG46))*$F$83,0)</f>
        <v>0</v>
      </c>
      <c r="AI47" s="108">
        <f t="shared" si="48"/>
        <v>0</v>
      </c>
      <c r="AJ47" s="113">
        <f t="shared" si="49"/>
        <v>0</v>
      </c>
      <c r="AK47" s="115">
        <f t="shared" si="34"/>
        <v>0</v>
      </c>
      <c r="AL47" s="277"/>
      <c r="AM47" s="264">
        <f t="shared" si="50"/>
        <v>0</v>
      </c>
      <c r="AN47" s="278"/>
      <c r="AO47" s="266">
        <f t="shared" si="8"/>
        <v>0</v>
      </c>
      <c r="AP47" s="263">
        <f t="shared" si="9"/>
        <v>0</v>
      </c>
      <c r="AQ47" s="263">
        <f t="shared" si="10"/>
        <v>0</v>
      </c>
      <c r="AR47" s="260">
        <f t="shared" si="11"/>
        <v>0</v>
      </c>
      <c r="AS47" s="261">
        <f t="shared" si="51"/>
        <v>0</v>
      </c>
      <c r="AT47" s="260">
        <f t="shared" si="52"/>
        <v>0</v>
      </c>
      <c r="AU47" s="260">
        <f t="shared" si="13"/>
        <v>0</v>
      </c>
      <c r="AV47" s="260">
        <f t="shared" si="14"/>
        <v>0</v>
      </c>
      <c r="AW47" s="260">
        <f t="shared" si="15"/>
        <v>0</v>
      </c>
      <c r="AX47" s="368">
        <f t="shared" si="36"/>
        <v>0</v>
      </c>
      <c r="AY47" s="260">
        <f t="shared" si="16"/>
        <v>0</v>
      </c>
      <c r="AZ47" s="368">
        <f>IF(AND($W47&gt;$P$83, SUM($AQ$17:AQ46)&gt;0,SUM($AZ$17:AZ46)&lt;$P$79),$P$82,0)</f>
        <v>0</v>
      </c>
      <c r="BA47" s="107">
        <f>IF(SUM($AQ$18:$AQ46)&gt;0,($P$79-SUM($AZ$18:$AZ46))*$F$83,0)</f>
        <v>0</v>
      </c>
      <c r="BB47" s="261">
        <f t="shared" si="53"/>
        <v>0</v>
      </c>
      <c r="BC47" s="263">
        <f t="shared" si="54"/>
        <v>0</v>
      </c>
      <c r="BD47" s="264">
        <f t="shared" si="55"/>
        <v>0</v>
      </c>
      <c r="BE47" s="280"/>
      <c r="BF47" s="181">
        <f t="shared" si="56"/>
        <v>0.32821858634377438</v>
      </c>
      <c r="BH47" s="266">
        <f t="shared" si="57"/>
        <v>0</v>
      </c>
      <c r="BI47" s="266">
        <f t="shared" si="58"/>
        <v>0</v>
      </c>
      <c r="BJ47" s="263">
        <f t="shared" si="59"/>
        <v>0</v>
      </c>
      <c r="BK47" s="263">
        <f t="shared" si="60"/>
        <v>0</v>
      </c>
      <c r="BL47" s="263">
        <f t="shared" si="61"/>
        <v>0</v>
      </c>
      <c r="BM47" s="260">
        <f t="shared" si="18"/>
        <v>0</v>
      </c>
      <c r="BN47" s="261">
        <f t="shared" si="62"/>
        <v>0</v>
      </c>
      <c r="BO47" s="263">
        <f t="shared" si="63"/>
        <v>0</v>
      </c>
      <c r="BP47" s="263">
        <f t="shared" si="21"/>
        <v>0</v>
      </c>
      <c r="BQ47" s="263">
        <f t="shared" si="22"/>
        <v>0</v>
      </c>
      <c r="BR47" s="263">
        <f t="shared" si="23"/>
        <v>0</v>
      </c>
      <c r="BS47" s="263">
        <f t="shared" si="24"/>
        <v>0</v>
      </c>
      <c r="BT47" s="107">
        <f t="shared" si="42"/>
        <v>0</v>
      </c>
      <c r="BU47" s="264">
        <f t="shared" si="64"/>
        <v>0</v>
      </c>
      <c r="BV47" s="261">
        <f t="shared" si="65"/>
        <v>0</v>
      </c>
      <c r="BW47" s="265"/>
      <c r="BX47" s="361">
        <f t="shared" si="26"/>
        <v>0</v>
      </c>
      <c r="BY47" s="499">
        <f t="shared" si="66"/>
        <v>0</v>
      </c>
    </row>
    <row r="48" spans="2:77" ht="15.75" customHeight="1" thickBot="1" x14ac:dyDescent="0.5">
      <c r="C48" s="21" t="s">
        <v>173</v>
      </c>
      <c r="D48" s="191" t="s">
        <v>21</v>
      </c>
      <c r="F48" s="429">
        <f>事業費用概算!G28</f>
        <v>50</v>
      </c>
      <c r="K48" s="119" t="s">
        <v>174</v>
      </c>
      <c r="N48" s="191" t="s">
        <v>21</v>
      </c>
      <c r="O48" s="91">
        <f>O46-O47</f>
        <v>47.5</v>
      </c>
      <c r="P48" s="91">
        <f>P46-P47</f>
        <v>47.5</v>
      </c>
      <c r="V48" s="289"/>
      <c r="Y48" s="127"/>
      <c r="Z48" s="127"/>
      <c r="AA48" s="95"/>
      <c r="AB48" s="95"/>
      <c r="AC48" s="95"/>
      <c r="AD48" s="95"/>
      <c r="AE48" s="95"/>
      <c r="AF48" s="95"/>
      <c r="AG48" s="107"/>
      <c r="AH48" s="113"/>
      <c r="AI48" s="95"/>
      <c r="AJ48" s="95"/>
      <c r="AK48" s="95"/>
      <c r="AL48" s="95"/>
      <c r="AM48" s="95"/>
      <c r="AN48" s="98"/>
      <c r="AO48" s="95"/>
      <c r="AP48" s="95"/>
      <c r="AQ48" s="95"/>
      <c r="AR48" s="95"/>
      <c r="AS48" s="95"/>
      <c r="AT48" s="95"/>
      <c r="AU48" s="95"/>
      <c r="AV48" s="95"/>
      <c r="AW48" s="95"/>
      <c r="AX48" s="95"/>
      <c r="AY48" s="95"/>
      <c r="AZ48" s="95"/>
      <c r="BA48" s="95"/>
      <c r="BB48" s="95"/>
      <c r="BC48" s="95"/>
      <c r="BD48" s="95"/>
      <c r="BH48" s="95"/>
      <c r="BI48" s="95"/>
      <c r="BJ48" s="95"/>
      <c r="BK48" s="95"/>
      <c r="BL48" s="95"/>
      <c r="BM48" s="95"/>
      <c r="BN48" s="95"/>
      <c r="BO48" s="95"/>
      <c r="BP48" s="95"/>
      <c r="BQ48" s="95"/>
      <c r="BR48" s="95"/>
      <c r="BS48" s="95"/>
      <c r="BT48" s="95"/>
      <c r="BU48" s="95"/>
      <c r="BV48" s="95"/>
      <c r="BW48" s="98"/>
    </row>
    <row r="49" spans="2:77" ht="15.75" customHeight="1" thickTop="1" x14ac:dyDescent="0.55000000000000004">
      <c r="F49" s="35"/>
      <c r="G49" s="35"/>
      <c r="H49" s="35"/>
      <c r="K49" s="119" t="s">
        <v>175</v>
      </c>
      <c r="N49" s="191" t="s">
        <v>21</v>
      </c>
      <c r="O49" s="91">
        <f>O46*$F$19</f>
        <v>950</v>
      </c>
      <c r="P49" s="91">
        <f>P48*$F$19</f>
        <v>950</v>
      </c>
      <c r="V49" s="289"/>
      <c r="X49" s="128" t="s">
        <v>68</v>
      </c>
      <c r="Y49" s="129">
        <f t="shared" ref="Y49:AK49" si="67">SUM(Y18:Y47)</f>
        <v>1140</v>
      </c>
      <c r="Z49" s="129">
        <f t="shared" si="67"/>
        <v>0</v>
      </c>
      <c r="AA49" s="129">
        <f t="shared" si="67"/>
        <v>1282.5</v>
      </c>
      <c r="AB49" s="129">
        <f t="shared" si="67"/>
        <v>0</v>
      </c>
      <c r="AC49" s="129">
        <f t="shared" si="67"/>
        <v>2422.5</v>
      </c>
      <c r="AD49" s="129">
        <f t="shared" si="67"/>
        <v>2850</v>
      </c>
      <c r="AE49" s="129">
        <f t="shared" si="67"/>
        <v>950</v>
      </c>
      <c r="AF49" s="129">
        <f t="shared" si="67"/>
        <v>200</v>
      </c>
      <c r="AG49" s="129">
        <f t="shared" si="67"/>
        <v>1282.5</v>
      </c>
      <c r="AH49" s="129">
        <f t="shared" si="67"/>
        <v>337.61812499999996</v>
      </c>
      <c r="AI49" s="129">
        <f t="shared" si="67"/>
        <v>5620.1181250000009</v>
      </c>
      <c r="AJ49" s="130">
        <f t="shared" si="67"/>
        <v>-3197.618125</v>
      </c>
      <c r="AK49" s="130">
        <f t="shared" si="67"/>
        <v>0</v>
      </c>
      <c r="AL49" s="376">
        <f>SUM(AJ49,AL17)</f>
        <v>-3197.618125</v>
      </c>
      <c r="AM49" s="383">
        <f>SUM(AM17:AM48)</f>
        <v>-2030.9512350311188</v>
      </c>
      <c r="AN49" s="98"/>
      <c r="AO49" s="129">
        <f t="shared" ref="AO49:BD49" si="68">SUM(AO18:AO47)</f>
        <v>1140</v>
      </c>
      <c r="AP49" s="129">
        <f t="shared" si="68"/>
        <v>0</v>
      </c>
      <c r="AQ49" s="129">
        <f t="shared" si="68"/>
        <v>1282.5</v>
      </c>
      <c r="AR49" s="129">
        <f t="shared" si="68"/>
        <v>0</v>
      </c>
      <c r="AS49" s="129">
        <f t="shared" si="68"/>
        <v>2422.5</v>
      </c>
      <c r="AT49" s="129">
        <f t="shared" si="68"/>
        <v>2850</v>
      </c>
      <c r="AU49" s="129">
        <f t="shared" si="68"/>
        <v>0</v>
      </c>
      <c r="AV49" s="129">
        <f t="shared" si="68"/>
        <v>0</v>
      </c>
      <c r="AW49" s="129">
        <f t="shared" si="68"/>
        <v>950</v>
      </c>
      <c r="AX49" s="129">
        <f t="shared" si="68"/>
        <v>195</v>
      </c>
      <c r="AY49" s="129">
        <f t="shared" si="68"/>
        <v>0</v>
      </c>
      <c r="AZ49" s="129">
        <f t="shared" si="68"/>
        <v>1282.5</v>
      </c>
      <c r="BA49" s="129">
        <f t="shared" si="68"/>
        <v>337.61812499999996</v>
      </c>
      <c r="BB49" s="129">
        <f t="shared" si="68"/>
        <v>5615.1181250000009</v>
      </c>
      <c r="BC49" s="130">
        <f t="shared" si="68"/>
        <v>-3192.618125</v>
      </c>
      <c r="BD49" s="130">
        <f t="shared" si="68"/>
        <v>-2051.0382995159703</v>
      </c>
      <c r="BH49" s="131">
        <f t="shared" ref="BH49:BV49" si="69">SUM(BH18:BH47)</f>
        <v>2850</v>
      </c>
      <c r="BI49" s="131">
        <f t="shared" si="69"/>
        <v>0</v>
      </c>
      <c r="BJ49" s="131">
        <f t="shared" si="69"/>
        <v>0</v>
      </c>
      <c r="BK49" s="131">
        <f t="shared" si="69"/>
        <v>950</v>
      </c>
      <c r="BL49" s="131">
        <f t="shared" si="69"/>
        <v>0</v>
      </c>
      <c r="BM49" s="131">
        <f t="shared" si="69"/>
        <v>0</v>
      </c>
      <c r="BN49" s="131">
        <f t="shared" si="69"/>
        <v>3800</v>
      </c>
      <c r="BO49" s="131">
        <f t="shared" si="69"/>
        <v>2850</v>
      </c>
      <c r="BP49" s="131">
        <f t="shared" si="69"/>
        <v>950</v>
      </c>
      <c r="BQ49" s="131">
        <f t="shared" si="69"/>
        <v>0</v>
      </c>
      <c r="BR49" s="131">
        <f t="shared" si="69"/>
        <v>0</v>
      </c>
      <c r="BS49" s="131">
        <f t="shared" si="69"/>
        <v>0</v>
      </c>
      <c r="BT49" s="131">
        <f t="shared" si="69"/>
        <v>0</v>
      </c>
      <c r="BU49" s="131">
        <f t="shared" si="69"/>
        <v>3800</v>
      </c>
      <c r="BV49" s="131">
        <f t="shared" si="69"/>
        <v>0</v>
      </c>
      <c r="BW49" s="98"/>
    </row>
    <row r="50" spans="2:77" ht="15.75" customHeight="1" x14ac:dyDescent="0.55000000000000004">
      <c r="BY50" s="21"/>
    </row>
    <row r="51" spans="2:77" ht="15.75" customHeight="1" x14ac:dyDescent="0.55000000000000004">
      <c r="B51" s="223" t="s">
        <v>176</v>
      </c>
      <c r="E51" s="22" t="s">
        <v>55</v>
      </c>
      <c r="F51" s="22" t="s">
        <v>98</v>
      </c>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Y51" s="21"/>
    </row>
    <row r="52" spans="2:77" ht="15.75" customHeight="1" x14ac:dyDescent="0.45">
      <c r="B52" s="223"/>
      <c r="C52" s="21" t="s">
        <v>177</v>
      </c>
      <c r="D52" s="191" t="s">
        <v>21</v>
      </c>
      <c r="E52" s="150"/>
      <c r="F52" s="412">
        <v>25</v>
      </c>
      <c r="K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Y52" s="21"/>
    </row>
    <row r="53" spans="2:77" ht="15.75" customHeight="1" x14ac:dyDescent="0.45">
      <c r="C53" s="21" t="s">
        <v>178</v>
      </c>
      <c r="D53" s="191" t="s">
        <v>21</v>
      </c>
      <c r="E53" s="412">
        <v>10</v>
      </c>
      <c r="F53" s="412">
        <v>6</v>
      </c>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5"/>
      <c r="BU53" s="105"/>
      <c r="BV53" s="105"/>
      <c r="BW53" s="105"/>
      <c r="BY53" s="21"/>
    </row>
    <row r="54" spans="2:77" ht="15.75" customHeight="1" x14ac:dyDescent="0.55000000000000004">
      <c r="BY54" s="21"/>
    </row>
    <row r="55" spans="2:77" ht="15.75" customHeight="1" x14ac:dyDescent="0.45">
      <c r="B55" s="223" t="s">
        <v>179</v>
      </c>
      <c r="F55" s="441">
        <v>1</v>
      </c>
      <c r="H55" s="120" t="s">
        <v>180</v>
      </c>
      <c r="J55" s="223" t="s">
        <v>179</v>
      </c>
      <c r="BY55" s="21"/>
    </row>
    <row r="56" spans="2:77" ht="15.75" customHeight="1" x14ac:dyDescent="0.45">
      <c r="M56" s="21" t="s">
        <v>181</v>
      </c>
      <c r="N56" s="191" t="s">
        <v>21</v>
      </c>
      <c r="O56" s="169"/>
      <c r="P56" s="299">
        <f>F137</f>
        <v>0</v>
      </c>
      <c r="BY56" s="21"/>
    </row>
    <row r="57" spans="2:77" ht="15.75" customHeight="1" x14ac:dyDescent="0.45">
      <c r="I57" s="295"/>
      <c r="M57" s="21" t="s">
        <v>182</v>
      </c>
      <c r="N57" s="191" t="s">
        <v>21</v>
      </c>
      <c r="O57" s="170"/>
      <c r="P57" s="300">
        <f>F138*$F$18</f>
        <v>0</v>
      </c>
    </row>
    <row r="58" spans="2:77" ht="15.75" customHeight="1" thickBot="1" x14ac:dyDescent="0.5">
      <c r="M58" s="21" t="s">
        <v>183</v>
      </c>
      <c r="N58" s="191" t="s">
        <v>21</v>
      </c>
      <c r="O58" s="170"/>
      <c r="P58" s="300">
        <f>SUM(P101,P103)+P105*F18</f>
        <v>0</v>
      </c>
      <c r="Q58" s="21" t="s">
        <v>184</v>
      </c>
      <c r="AA58" s="21"/>
      <c r="AB58" s="21"/>
      <c r="AC58" s="21"/>
      <c r="AD58" s="21"/>
      <c r="AE58" s="21"/>
      <c r="AF58" s="21"/>
      <c r="AG58" s="21"/>
      <c r="AH58" s="21"/>
      <c r="AI58" s="21"/>
      <c r="AJ58" s="21"/>
      <c r="AK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row>
    <row r="59" spans="2:77" ht="15.75" customHeight="1" thickBot="1" x14ac:dyDescent="0.5">
      <c r="K59" s="378" t="s">
        <v>185</v>
      </c>
      <c r="L59" s="134"/>
      <c r="M59" s="134"/>
      <c r="N59" s="194" t="s">
        <v>21</v>
      </c>
      <c r="O59" s="171"/>
      <c r="P59" s="426">
        <f>SUM(P56:P57)*$F$55</f>
        <v>0</v>
      </c>
      <c r="Q59" s="21" t="s">
        <v>186</v>
      </c>
      <c r="AA59" s="21"/>
      <c r="AB59" s="21"/>
      <c r="AC59" s="21"/>
      <c r="AD59" s="21"/>
      <c r="AE59" s="21"/>
      <c r="AF59" s="21"/>
      <c r="AG59" s="21"/>
      <c r="AH59" s="21"/>
      <c r="AI59" s="21"/>
      <c r="AJ59" s="21"/>
      <c r="AK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row>
    <row r="60" spans="2:77" ht="15.75" customHeight="1" x14ac:dyDescent="0.45">
      <c r="M60" s="21" t="s">
        <v>187</v>
      </c>
      <c r="N60" s="191" t="s">
        <v>21</v>
      </c>
      <c r="O60" s="172"/>
      <c r="P60" s="427">
        <f>F138</f>
        <v>0</v>
      </c>
      <c r="AA60" s="21"/>
      <c r="AB60" s="21"/>
      <c r="AC60" s="21"/>
      <c r="AD60" s="21"/>
      <c r="AE60" s="21"/>
      <c r="AF60" s="21"/>
      <c r="AG60" s="21"/>
      <c r="AH60" s="21"/>
      <c r="AI60" s="21"/>
      <c r="AJ60" s="21"/>
      <c r="AK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row>
    <row r="61" spans="2:77" ht="15.75" customHeight="1" thickBot="1" x14ac:dyDescent="0.5">
      <c r="M61" s="21" t="s">
        <v>188</v>
      </c>
      <c r="N61" s="191" t="s">
        <v>21</v>
      </c>
      <c r="O61" s="172"/>
      <c r="P61" s="428">
        <f>P107</f>
        <v>0</v>
      </c>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row>
    <row r="62" spans="2:77" ht="15.75" customHeight="1" thickBot="1" x14ac:dyDescent="0.5">
      <c r="K62" s="378" t="s">
        <v>189</v>
      </c>
      <c r="L62" s="134"/>
      <c r="M62" s="134"/>
      <c r="N62" s="194" t="s">
        <v>21</v>
      </c>
      <c r="O62" s="171"/>
      <c r="P62" s="426">
        <f>SUM(P60:P61)*$F$55</f>
        <v>0</v>
      </c>
      <c r="Q62" s="21" t="s">
        <v>190</v>
      </c>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row>
    <row r="63" spans="2:77" ht="15.75" customHeight="1" x14ac:dyDescent="0.55000000000000004">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row>
    <row r="64" spans="2:77" ht="15.75" customHeight="1" x14ac:dyDescent="0.55000000000000004">
      <c r="B64" s="226" t="s">
        <v>270</v>
      </c>
      <c r="J64" s="223" t="s">
        <v>192</v>
      </c>
      <c r="K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row>
    <row r="65" spans="1:75" ht="15.75" customHeight="1" x14ac:dyDescent="0.45">
      <c r="C65" s="21" t="s">
        <v>193</v>
      </c>
      <c r="D65" s="191" t="s">
        <v>25</v>
      </c>
      <c r="F65" s="315">
        <v>0.95</v>
      </c>
      <c r="J65" s="223"/>
      <c r="K65" s="21" t="s">
        <v>59</v>
      </c>
      <c r="N65" s="191" t="s">
        <v>21</v>
      </c>
      <c r="O65" s="91">
        <f>O35/$F$65</f>
        <v>3000</v>
      </c>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row>
    <row r="66" spans="1:75" ht="15.75" customHeight="1" x14ac:dyDescent="0.45">
      <c r="B66" s="119"/>
      <c r="C66" s="21" t="s">
        <v>194</v>
      </c>
      <c r="D66" s="191" t="s">
        <v>25</v>
      </c>
      <c r="F66" s="386">
        <f>事業費用概算!H31</f>
        <v>0.05</v>
      </c>
      <c r="J66" s="223"/>
      <c r="K66" s="21" t="s">
        <v>195</v>
      </c>
      <c r="N66" s="191" t="s">
        <v>21</v>
      </c>
      <c r="O66" s="321">
        <f>O46/$F$65*$F$19</f>
        <v>1000</v>
      </c>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row>
    <row r="67" spans="1:75" ht="15.75" customHeight="1" x14ac:dyDescent="0.45">
      <c r="B67" s="119"/>
      <c r="C67" s="21" t="s">
        <v>196</v>
      </c>
      <c r="D67" s="191" t="s">
        <v>25</v>
      </c>
      <c r="F67" s="386">
        <f>事業費用概算!H32</f>
        <v>0.05</v>
      </c>
      <c r="J67" s="223"/>
      <c r="K67" s="241" t="s">
        <v>197</v>
      </c>
      <c r="L67" s="241"/>
      <c r="M67" s="241"/>
      <c r="N67" s="241" t="s">
        <v>21</v>
      </c>
      <c r="O67" s="322">
        <f>SUM(O65:O66)</f>
        <v>4000</v>
      </c>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row>
    <row r="68" spans="1:75" ht="15.75" customHeight="1" x14ac:dyDescent="0.55000000000000004">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row>
    <row r="69" spans="1:75" ht="15.75" customHeight="1" thickBot="1" x14ac:dyDescent="0.6">
      <c r="A69" s="210" t="s">
        <v>31</v>
      </c>
      <c r="B69" s="225"/>
      <c r="C69" s="202"/>
      <c r="D69" s="203"/>
      <c r="E69" s="202"/>
      <c r="F69" s="202"/>
      <c r="G69" s="202"/>
      <c r="H69" s="202"/>
      <c r="I69" s="217" t="s">
        <v>31</v>
      </c>
      <c r="J69" s="225"/>
      <c r="K69" s="338"/>
      <c r="L69" s="202"/>
      <c r="M69" s="202"/>
      <c r="N69" s="203"/>
      <c r="O69" s="202"/>
      <c r="P69" s="202"/>
      <c r="Q69" s="202"/>
      <c r="R69" s="202"/>
      <c r="S69" s="202"/>
      <c r="T69" s="203"/>
      <c r="U69" s="202"/>
      <c r="AL69" s="21"/>
    </row>
    <row r="70" spans="1:75" ht="15.75" customHeight="1" x14ac:dyDescent="0.55000000000000004">
      <c r="AL70" s="21"/>
    </row>
    <row r="71" spans="1:75" ht="15.75" customHeight="1" x14ac:dyDescent="0.55000000000000004">
      <c r="B71" s="228" t="s">
        <v>198</v>
      </c>
      <c r="C71" s="422"/>
      <c r="T71" s="191"/>
      <c r="V71" s="289"/>
      <c r="Y71" s="23"/>
      <c r="Z71" s="23"/>
      <c r="AA71" s="24"/>
      <c r="AB71" s="24"/>
      <c r="AC71" s="24"/>
      <c r="AD71" s="24"/>
      <c r="AE71" s="24"/>
      <c r="AF71" s="24"/>
      <c r="AG71" s="24"/>
      <c r="AH71" s="24"/>
      <c r="AI71" s="24"/>
      <c r="AJ71" s="24"/>
      <c r="AK71" s="25"/>
      <c r="AL71" s="25"/>
      <c r="AM71" s="25"/>
      <c r="AO71" s="25"/>
      <c r="AP71" s="24"/>
      <c r="AQ71" s="24"/>
      <c r="AR71" s="24"/>
      <c r="AS71" s="24"/>
      <c r="AT71" s="24"/>
      <c r="AU71" s="24"/>
      <c r="AV71" s="24"/>
      <c r="AW71" s="24"/>
      <c r="AX71" s="24"/>
      <c r="AY71" s="24"/>
      <c r="AZ71" s="24"/>
      <c r="BA71" s="24"/>
      <c r="BB71" s="24"/>
      <c r="BC71" s="24"/>
      <c r="BD71" s="24"/>
      <c r="BH71" s="24"/>
      <c r="BI71" s="24"/>
      <c r="BJ71" s="24"/>
      <c r="BK71" s="24"/>
      <c r="BL71" s="24"/>
      <c r="BM71" s="24"/>
      <c r="BN71" s="24"/>
      <c r="BO71" s="24"/>
      <c r="BP71" s="24"/>
      <c r="BQ71" s="24"/>
      <c r="BR71" s="24"/>
      <c r="BS71" s="24"/>
      <c r="BT71" s="24"/>
      <c r="BU71" s="24"/>
      <c r="BV71" s="24"/>
    </row>
    <row r="72" spans="1:75" ht="15.75" customHeight="1" x14ac:dyDescent="0.45">
      <c r="C72" s="21" t="s">
        <v>275</v>
      </c>
      <c r="D72" s="191" t="s">
        <v>21</v>
      </c>
      <c r="F72" s="150">
        <v>0</v>
      </c>
    </row>
    <row r="73" spans="1:75" ht="15.75" customHeight="1" x14ac:dyDescent="0.55000000000000004"/>
    <row r="74" spans="1:75" ht="15.75" customHeight="1" thickBot="1" x14ac:dyDescent="0.6">
      <c r="A74" s="210" t="s">
        <v>35</v>
      </c>
      <c r="B74" s="225"/>
      <c r="C74" s="202"/>
      <c r="D74" s="203"/>
      <c r="E74" s="202"/>
      <c r="F74" s="202"/>
      <c r="G74" s="202"/>
      <c r="H74" s="202"/>
      <c r="I74" s="217" t="s">
        <v>35</v>
      </c>
      <c r="J74" s="225"/>
      <c r="K74" s="338"/>
      <c r="L74" s="202"/>
      <c r="M74" s="202"/>
      <c r="N74" s="203"/>
      <c r="O74" s="202"/>
      <c r="P74" s="202"/>
      <c r="Q74" s="202"/>
      <c r="R74" s="202"/>
      <c r="S74" s="202"/>
      <c r="T74" s="203"/>
      <c r="U74" s="202"/>
      <c r="V74" s="289"/>
      <c r="Y74" s="23"/>
      <c r="Z74" s="23"/>
      <c r="AA74" s="24"/>
      <c r="AB74" s="24"/>
      <c r="AC74" s="24"/>
      <c r="AD74" s="24"/>
      <c r="AE74" s="24"/>
      <c r="AF74" s="24"/>
      <c r="AG74" s="24"/>
      <c r="AH74" s="24"/>
      <c r="AI74" s="24"/>
      <c r="AJ74" s="24"/>
      <c r="AK74" s="25"/>
      <c r="AL74" s="25"/>
      <c r="AM74" s="25"/>
      <c r="AO74" s="25"/>
      <c r="AP74" s="24"/>
      <c r="AQ74" s="24"/>
      <c r="AR74" s="24"/>
      <c r="AS74" s="24"/>
      <c r="AT74" s="24"/>
      <c r="AU74" s="24"/>
      <c r="AV74" s="24"/>
      <c r="AW74" s="24"/>
      <c r="AX74" s="24"/>
      <c r="AY74" s="24"/>
      <c r="AZ74" s="24"/>
      <c r="BA74" s="24"/>
      <c r="BB74" s="24"/>
      <c r="BC74" s="24"/>
      <c r="BD74" s="24"/>
      <c r="BH74" s="24"/>
      <c r="BI74" s="24"/>
      <c r="BJ74" s="24"/>
      <c r="BK74" s="24"/>
      <c r="BL74" s="24"/>
      <c r="BM74" s="24"/>
      <c r="BN74" s="24"/>
      <c r="BO74" s="24"/>
      <c r="BP74" s="24"/>
      <c r="BQ74" s="24"/>
      <c r="BR74" s="24"/>
      <c r="BS74" s="24"/>
      <c r="BT74" s="24"/>
      <c r="BU74" s="24"/>
      <c r="BV74" s="24"/>
    </row>
    <row r="75" spans="1:75" ht="15.75" customHeight="1" x14ac:dyDescent="0.55000000000000004">
      <c r="A75" s="35"/>
      <c r="J75" s="35"/>
      <c r="V75" s="22"/>
    </row>
    <row r="76" spans="1:75" ht="15.75" customHeight="1" x14ac:dyDescent="0.55000000000000004">
      <c r="A76" s="35"/>
      <c r="B76" s="223" t="s">
        <v>199</v>
      </c>
      <c r="C76" s="422"/>
      <c r="D76" s="410"/>
      <c r="E76" s="25" t="s">
        <v>18</v>
      </c>
      <c r="F76" s="25" t="s">
        <v>200</v>
      </c>
      <c r="I76" s="214"/>
      <c r="J76" s="223" t="s">
        <v>199</v>
      </c>
      <c r="O76" s="21" t="s">
        <v>55</v>
      </c>
      <c r="P76" s="21" t="s">
        <v>98</v>
      </c>
      <c r="T76" s="191"/>
      <c r="V76" s="295"/>
      <c r="Y76" s="23"/>
      <c r="Z76" s="23"/>
      <c r="AA76" s="24"/>
      <c r="AB76" s="24"/>
      <c r="AC76" s="24"/>
      <c r="AD76" s="24"/>
      <c r="AE76" s="24"/>
      <c r="AF76" s="24"/>
      <c r="AG76" s="24"/>
      <c r="AH76" s="24"/>
      <c r="AI76" s="24"/>
      <c r="AJ76" s="24"/>
      <c r="AK76" s="25"/>
      <c r="AL76" s="25"/>
      <c r="AM76" s="25"/>
      <c r="AO76" s="25"/>
      <c r="AP76" s="24"/>
      <c r="AQ76" s="24"/>
      <c r="AR76" s="24"/>
      <c r="AS76" s="24"/>
      <c r="AT76" s="24"/>
      <c r="AU76" s="24"/>
      <c r="AV76" s="24"/>
      <c r="AW76" s="24"/>
      <c r="AX76" s="24"/>
      <c r="AY76" s="24"/>
      <c r="AZ76" s="24"/>
      <c r="BA76" s="24"/>
      <c r="BB76" s="24"/>
      <c r="BC76" s="24"/>
      <c r="BD76" s="24"/>
      <c r="BH76" s="24"/>
      <c r="BI76" s="24"/>
      <c r="BJ76" s="24"/>
      <c r="BK76" s="24"/>
      <c r="BL76" s="24"/>
      <c r="BM76" s="24"/>
      <c r="BN76" s="24"/>
      <c r="BO76" s="24"/>
      <c r="BP76" s="24"/>
      <c r="BQ76" s="24"/>
      <c r="BR76" s="24"/>
      <c r="BS76" s="24"/>
      <c r="BT76" s="24"/>
      <c r="BU76" s="24"/>
      <c r="BV76" s="24"/>
    </row>
    <row r="77" spans="1:75" ht="15.75" customHeight="1" x14ac:dyDescent="0.45">
      <c r="C77" s="21" t="s">
        <v>201</v>
      </c>
      <c r="D77" s="191" t="s">
        <v>21</v>
      </c>
      <c r="E77" s="374">
        <f>O79</f>
        <v>1282.5</v>
      </c>
      <c r="F77" s="374">
        <f>P79</f>
        <v>1282.5</v>
      </c>
      <c r="J77" s="35"/>
      <c r="K77" s="119" t="s">
        <v>202</v>
      </c>
      <c r="N77" s="191" t="s">
        <v>21</v>
      </c>
      <c r="O77" s="168">
        <f>O32</f>
        <v>2850</v>
      </c>
      <c r="P77" s="168">
        <f>P32</f>
        <v>2850</v>
      </c>
      <c r="V77" s="22"/>
    </row>
    <row r="78" spans="1:75" ht="15.75" customHeight="1" x14ac:dyDescent="0.45">
      <c r="C78" s="21" t="s">
        <v>203</v>
      </c>
      <c r="D78" s="191" t="s">
        <v>25</v>
      </c>
      <c r="F78" s="163">
        <v>0.4</v>
      </c>
      <c r="K78" s="119" t="s">
        <v>110</v>
      </c>
      <c r="N78" s="191" t="s">
        <v>21</v>
      </c>
      <c r="O78" s="168">
        <f>O77*$F$78</f>
        <v>1140</v>
      </c>
      <c r="P78" s="168">
        <f t="shared" ref="P78" si="70">P77*$F$78</f>
        <v>1140</v>
      </c>
      <c r="V78" s="22"/>
    </row>
    <row r="79" spans="1:75" ht="15.75" customHeight="1" x14ac:dyDescent="0.45">
      <c r="C79" s="21" t="s">
        <v>204</v>
      </c>
      <c r="D79" s="191" t="s">
        <v>25</v>
      </c>
      <c r="F79" s="157">
        <v>0</v>
      </c>
      <c r="K79" s="119" t="s">
        <v>205</v>
      </c>
      <c r="N79" s="191" t="s">
        <v>21</v>
      </c>
      <c r="O79" s="168">
        <f>(O77-O78)*$F$80</f>
        <v>1282.5</v>
      </c>
      <c r="P79" s="168">
        <f>(P33-P78)*$F$80</f>
        <v>1282.5</v>
      </c>
      <c r="V79" s="22"/>
    </row>
    <row r="80" spans="1:75" x14ac:dyDescent="0.45">
      <c r="C80" s="21" t="s">
        <v>206</v>
      </c>
      <c r="D80" s="191" t="s">
        <v>25</v>
      </c>
      <c r="F80" s="157">
        <v>0.75</v>
      </c>
      <c r="J80" s="35"/>
      <c r="K80" s="119" t="s">
        <v>207</v>
      </c>
      <c r="N80" s="191" t="s">
        <v>21</v>
      </c>
      <c r="O80" s="168">
        <f>O79*$F$79</f>
        <v>0</v>
      </c>
      <c r="P80" s="168">
        <f>P79*$F$79</f>
        <v>0</v>
      </c>
      <c r="V80" s="22"/>
    </row>
    <row r="81" spans="1:93" ht="15.75" customHeight="1" x14ac:dyDescent="0.45">
      <c r="C81" s="21" t="s">
        <v>208</v>
      </c>
      <c r="D81" s="191" t="s">
        <v>14</v>
      </c>
      <c r="F81" s="150">
        <v>20</v>
      </c>
      <c r="K81" s="252" t="s">
        <v>209</v>
      </c>
      <c r="L81" s="250"/>
      <c r="M81" s="250"/>
      <c r="N81" s="191" t="s">
        <v>21</v>
      </c>
      <c r="O81" s="168">
        <f>O77-SUM(O78:O80)</f>
        <v>427.5</v>
      </c>
      <c r="P81" s="168">
        <f>P77-SUM(P78:P80)</f>
        <v>427.5</v>
      </c>
      <c r="V81" s="22"/>
    </row>
    <row r="82" spans="1:93" ht="15.75" customHeight="1" x14ac:dyDescent="0.45">
      <c r="C82" s="21" t="s">
        <v>210</v>
      </c>
      <c r="D82" s="191" t="s">
        <v>211</v>
      </c>
      <c r="F82" s="150">
        <v>3</v>
      </c>
      <c r="K82" s="119" t="s">
        <v>212</v>
      </c>
      <c r="N82" s="191" t="s">
        <v>21</v>
      </c>
      <c r="O82" s="168">
        <f>O79/$F$81</f>
        <v>64.125</v>
      </c>
      <c r="P82" s="168">
        <f>P79/$F$81</f>
        <v>64.125</v>
      </c>
      <c r="V82" s="22"/>
    </row>
    <row r="83" spans="1:93" ht="15.75" customHeight="1" x14ac:dyDescent="0.45">
      <c r="C83" s="21" t="s">
        <v>213</v>
      </c>
      <c r="D83" s="191" t="s">
        <v>25</v>
      </c>
      <c r="F83" s="387">
        <v>1.95E-2</v>
      </c>
      <c r="K83" s="21" t="s">
        <v>214</v>
      </c>
      <c r="N83" s="191" t="s">
        <v>215</v>
      </c>
      <c r="O83" s="168">
        <f>$F82+$F$18</f>
        <v>6</v>
      </c>
      <c r="P83" s="168">
        <f>$F82+$F$18</f>
        <v>6</v>
      </c>
      <c r="V83" s="22"/>
    </row>
    <row r="84" spans="1:93" ht="15.75" customHeight="1" x14ac:dyDescent="0.55000000000000004">
      <c r="D84" s="21"/>
      <c r="K84" s="21"/>
      <c r="N84" s="21"/>
      <c r="V84" s="22"/>
    </row>
    <row r="85" spans="1:93" ht="15.75" customHeight="1" x14ac:dyDescent="0.55000000000000004">
      <c r="A85" s="35"/>
      <c r="B85" s="223" t="s">
        <v>216</v>
      </c>
      <c r="E85" s="21" t="s">
        <v>55</v>
      </c>
      <c r="F85" s="21" t="s">
        <v>98</v>
      </c>
      <c r="I85" s="214"/>
      <c r="J85" s="223" t="s">
        <v>216</v>
      </c>
      <c r="P85" s="21" t="s">
        <v>98</v>
      </c>
      <c r="T85" s="191"/>
      <c r="V85" s="295"/>
      <c r="Y85" s="23"/>
      <c r="Z85" s="23"/>
      <c r="AA85" s="24"/>
      <c r="AB85" s="24"/>
      <c r="AC85" s="24"/>
      <c r="AD85" s="24"/>
      <c r="AE85" s="24"/>
      <c r="AF85" s="24"/>
      <c r="AG85" s="24"/>
      <c r="AH85" s="24"/>
      <c r="AI85" s="24"/>
      <c r="AJ85" s="24"/>
      <c r="AK85" s="25"/>
      <c r="AL85" s="25"/>
      <c r="AM85" s="25"/>
      <c r="AO85" s="25"/>
      <c r="AP85" s="24"/>
      <c r="AQ85" s="24"/>
      <c r="AR85" s="24"/>
      <c r="AS85" s="24"/>
      <c r="AT85" s="24"/>
      <c r="AU85" s="24"/>
      <c r="AV85" s="24"/>
      <c r="AW85" s="24"/>
      <c r="AX85" s="24"/>
      <c r="AY85" s="24"/>
      <c r="AZ85" s="24"/>
      <c r="BA85" s="24"/>
      <c r="BB85" s="24"/>
      <c r="BC85" s="24"/>
      <c r="BD85" s="24"/>
      <c r="BH85" s="24"/>
      <c r="BI85" s="24"/>
      <c r="BJ85" s="24"/>
      <c r="BK85" s="24"/>
      <c r="BL85" s="24"/>
      <c r="BM85" s="24"/>
      <c r="BN85" s="24"/>
      <c r="BO85" s="24"/>
      <c r="BP85" s="24"/>
      <c r="BQ85" s="24"/>
      <c r="BR85" s="24"/>
      <c r="BS85" s="24"/>
      <c r="BT85" s="24"/>
      <c r="BU85" s="24"/>
      <c r="BV85" s="24"/>
    </row>
    <row r="86" spans="1:93" ht="15.75" customHeight="1" x14ac:dyDescent="0.45">
      <c r="C86" s="21" t="s">
        <v>201</v>
      </c>
      <c r="D86" s="191" t="s">
        <v>21</v>
      </c>
      <c r="E86" s="409">
        <f>O95</f>
        <v>0</v>
      </c>
      <c r="F86" s="409">
        <f>P34</f>
        <v>0</v>
      </c>
      <c r="H86" s="120" t="s">
        <v>180</v>
      </c>
      <c r="J86" s="35"/>
      <c r="K86" s="119" t="s">
        <v>217</v>
      </c>
      <c r="N86" s="191" t="s">
        <v>25</v>
      </c>
      <c r="O86" s="22"/>
      <c r="P86" s="433"/>
      <c r="V86" s="22"/>
    </row>
    <row r="87" spans="1:93" ht="15.75" customHeight="1" x14ac:dyDescent="0.45">
      <c r="C87" s="21" t="s">
        <v>164</v>
      </c>
      <c r="D87" s="191" t="s">
        <v>25</v>
      </c>
      <c r="F87" s="433"/>
      <c r="H87" s="120" t="s">
        <v>180</v>
      </c>
    </row>
    <row r="88" spans="1:93" ht="15.75" customHeight="1" x14ac:dyDescent="0.45">
      <c r="C88" s="21" t="s">
        <v>218</v>
      </c>
      <c r="D88" s="191" t="s">
        <v>25</v>
      </c>
      <c r="F88" s="433"/>
      <c r="H88" s="120" t="s">
        <v>180</v>
      </c>
    </row>
    <row r="89" spans="1:93" ht="15.75" customHeight="1" x14ac:dyDescent="0.55000000000000004">
      <c r="D89" s="21"/>
    </row>
    <row r="90" spans="1:93" ht="15.75" customHeight="1" x14ac:dyDescent="0.55000000000000004">
      <c r="J90" s="35"/>
      <c r="O90" s="22"/>
      <c r="V90" s="22"/>
    </row>
    <row r="91" spans="1:93" ht="15.75" customHeight="1" thickBot="1" x14ac:dyDescent="0.6">
      <c r="A91" s="210" t="s">
        <v>43</v>
      </c>
      <c r="B91" s="225"/>
      <c r="C91" s="202"/>
      <c r="D91" s="203"/>
      <c r="E91" s="202"/>
      <c r="F91" s="202"/>
      <c r="G91" s="202"/>
      <c r="H91" s="202"/>
      <c r="I91" s="217" t="s">
        <v>43</v>
      </c>
      <c r="J91" s="225"/>
      <c r="K91" s="338"/>
      <c r="L91" s="202"/>
      <c r="M91" s="202"/>
      <c r="N91" s="203"/>
      <c r="O91" s="202"/>
      <c r="P91" s="202"/>
      <c r="Q91" s="202"/>
      <c r="R91" s="202"/>
      <c r="S91" s="202"/>
      <c r="T91" s="202"/>
      <c r="U91" s="202"/>
      <c r="V91" s="289"/>
      <c r="Y91" s="23"/>
      <c r="Z91" s="23"/>
      <c r="AA91" s="24"/>
      <c r="AB91" s="24"/>
      <c r="AC91" s="24"/>
      <c r="AD91" s="24"/>
      <c r="AE91" s="24"/>
      <c r="AF91" s="24"/>
      <c r="AG91" s="24"/>
      <c r="AH91" s="24"/>
      <c r="AI91" s="24"/>
      <c r="AJ91" s="24"/>
      <c r="AK91" s="24"/>
      <c r="AL91" s="24"/>
      <c r="AM91" s="25"/>
      <c r="AN91" s="25"/>
      <c r="AP91" s="25"/>
      <c r="AQ91" s="24"/>
      <c r="AR91" s="24"/>
      <c r="AS91" s="24"/>
      <c r="AT91" s="24"/>
      <c r="AU91" s="24"/>
      <c r="AV91" s="24"/>
      <c r="AW91" s="24"/>
      <c r="AX91" s="24"/>
      <c r="AY91" s="24"/>
      <c r="AZ91" s="24"/>
      <c r="BA91" s="24"/>
      <c r="BB91" s="24"/>
      <c r="BC91" s="24"/>
      <c r="BD91" s="24"/>
      <c r="BE91" s="24"/>
      <c r="BF91" s="24"/>
      <c r="BH91" s="26"/>
      <c r="BJ91" s="24"/>
      <c r="BK91" s="24"/>
      <c r="BL91" s="24"/>
      <c r="BM91" s="24"/>
      <c r="BN91" s="24"/>
      <c r="BO91" s="24"/>
      <c r="BP91" s="24"/>
      <c r="BQ91" s="24"/>
      <c r="BR91" s="24"/>
      <c r="BS91" s="24"/>
      <c r="BT91" s="24"/>
      <c r="BU91" s="24"/>
      <c r="BV91" s="24"/>
      <c r="BW91" s="24"/>
      <c r="BX91" s="24"/>
      <c r="BY91" s="24"/>
      <c r="BZ91" s="24"/>
      <c r="CA91" s="24"/>
      <c r="CB91" s="22"/>
      <c r="CC91" s="24"/>
      <c r="CD91" s="24"/>
      <c r="CE91" s="24"/>
      <c r="CF91" s="24"/>
      <c r="CG91" s="24"/>
      <c r="CH91" s="22"/>
      <c r="CI91" s="24"/>
      <c r="CJ91" s="24"/>
      <c r="CK91" s="22"/>
      <c r="CL91" s="22"/>
      <c r="CM91" s="22"/>
      <c r="CN91" s="22"/>
      <c r="CO91" s="22"/>
    </row>
    <row r="92" spans="1:93" ht="15.75" customHeight="1" x14ac:dyDescent="0.55000000000000004">
      <c r="J92" s="35"/>
      <c r="O92" s="22"/>
      <c r="P92" s="22"/>
      <c r="R92" s="35"/>
      <c r="S92" s="35"/>
      <c r="T92" s="35"/>
    </row>
    <row r="93" spans="1:93" ht="15.75" customHeight="1" x14ac:dyDescent="0.55000000000000004">
      <c r="A93" s="207"/>
      <c r="B93" s="223" t="s">
        <v>220</v>
      </c>
      <c r="C93" s="422"/>
      <c r="I93" s="214"/>
      <c r="J93" s="223" t="s">
        <v>220</v>
      </c>
      <c r="O93" s="22"/>
      <c r="P93" s="37" t="s">
        <v>219</v>
      </c>
      <c r="V93" s="289"/>
      <c r="Y93" s="23"/>
      <c r="Z93" s="23"/>
      <c r="AA93" s="24"/>
      <c r="AB93" s="24"/>
      <c r="AC93" s="24"/>
      <c r="AD93" s="24"/>
      <c r="AE93" s="24"/>
      <c r="AF93" s="24"/>
      <c r="AG93" s="24"/>
      <c r="AH93" s="24"/>
      <c r="AI93" s="24"/>
      <c r="AJ93" s="24"/>
      <c r="AK93" s="24"/>
      <c r="AL93" s="24"/>
      <c r="AM93" s="25"/>
      <c r="AN93" s="25"/>
      <c r="AP93" s="25"/>
      <c r="AQ93" s="24"/>
      <c r="AR93" s="24"/>
      <c r="AS93" s="24"/>
      <c r="AT93" s="24"/>
      <c r="AU93" s="24"/>
      <c r="AV93" s="24"/>
      <c r="AW93" s="24"/>
      <c r="AX93" s="24"/>
      <c r="AY93" s="24"/>
      <c r="AZ93" s="24"/>
      <c r="BA93" s="24"/>
      <c r="BB93" s="24"/>
      <c r="BC93" s="24"/>
      <c r="BD93" s="24"/>
      <c r="BE93" s="24"/>
      <c r="BF93" s="24"/>
      <c r="BH93" s="26"/>
      <c r="BJ93" s="24"/>
      <c r="BK93" s="24"/>
      <c r="BL93" s="24"/>
      <c r="BM93" s="24"/>
      <c r="BN93" s="24"/>
      <c r="BO93" s="24"/>
      <c r="BP93" s="24"/>
      <c r="BQ93" s="24"/>
      <c r="BR93" s="24"/>
      <c r="BS93" s="24"/>
      <c r="BT93" s="24"/>
      <c r="BU93" s="24"/>
      <c r="BV93" s="24"/>
      <c r="BW93" s="24"/>
      <c r="BX93" s="24"/>
      <c r="BY93" s="24"/>
      <c r="BZ93" s="24"/>
      <c r="CA93" s="24"/>
      <c r="CB93" s="22"/>
      <c r="CC93" s="24"/>
      <c r="CD93" s="24"/>
      <c r="CE93" s="24"/>
      <c r="CF93" s="24"/>
      <c r="CG93" s="24"/>
      <c r="CH93" s="22"/>
      <c r="CI93" s="24"/>
      <c r="CJ93" s="24"/>
      <c r="CK93" s="22"/>
      <c r="CL93" s="22"/>
      <c r="CM93" s="22"/>
      <c r="CN93" s="22"/>
      <c r="CO93" s="22"/>
    </row>
    <row r="94" spans="1:93" ht="15.75" customHeight="1" x14ac:dyDescent="0.45">
      <c r="A94" s="35"/>
      <c r="C94" s="21" t="s">
        <v>221</v>
      </c>
      <c r="D94" s="191" t="s">
        <v>21</v>
      </c>
      <c r="F94" s="433"/>
      <c r="H94" s="120" t="s">
        <v>180</v>
      </c>
      <c r="K94" s="119" t="s">
        <v>222</v>
      </c>
      <c r="N94" s="191" t="s">
        <v>21</v>
      </c>
      <c r="O94" s="122"/>
      <c r="P94" s="433"/>
    </row>
    <row r="95" spans="1:93" ht="15.75" customHeight="1" x14ac:dyDescent="0.45">
      <c r="C95" s="21" t="s">
        <v>395</v>
      </c>
      <c r="D95" s="191" t="s">
        <v>25</v>
      </c>
      <c r="F95" s="414"/>
      <c r="H95" s="21" t="s">
        <v>223</v>
      </c>
      <c r="K95" s="119" t="s">
        <v>224</v>
      </c>
      <c r="N95" s="191" t="s">
        <v>21</v>
      </c>
      <c r="O95" s="122"/>
      <c r="P95" s="496"/>
    </row>
    <row r="96" spans="1:93" ht="15.75" customHeight="1" x14ac:dyDescent="0.45">
      <c r="C96" s="21" t="s">
        <v>225</v>
      </c>
      <c r="K96" s="275" t="s">
        <v>226</v>
      </c>
      <c r="L96" s="241"/>
      <c r="M96" s="241"/>
      <c r="N96" s="242" t="s">
        <v>21</v>
      </c>
      <c r="O96" s="241"/>
      <c r="P96" s="497"/>
    </row>
    <row r="97" spans="1:93" ht="15.75" customHeight="1" x14ac:dyDescent="0.45">
      <c r="C97" s="21" t="s">
        <v>226</v>
      </c>
      <c r="D97" s="191" t="s">
        <v>21</v>
      </c>
      <c r="F97" s="414"/>
      <c r="H97" s="21" t="s">
        <v>227</v>
      </c>
      <c r="P97" s="92"/>
    </row>
    <row r="98" spans="1:93" ht="15.75" customHeight="1" x14ac:dyDescent="0.45">
      <c r="K98" s="119" t="s">
        <v>225</v>
      </c>
      <c r="N98" s="191" t="s">
        <v>21</v>
      </c>
      <c r="P98" s="433"/>
    </row>
    <row r="99" spans="1:93" ht="15.75" customHeight="1" x14ac:dyDescent="0.55000000000000004"/>
    <row r="100" spans="1:93" ht="15.75" customHeight="1" x14ac:dyDescent="0.55000000000000004">
      <c r="A100" s="207"/>
      <c r="B100" s="223" t="s">
        <v>228</v>
      </c>
      <c r="C100" s="423"/>
      <c r="I100" s="214"/>
      <c r="J100" s="223" t="s">
        <v>228</v>
      </c>
      <c r="P100" s="92"/>
      <c r="V100" s="289"/>
      <c r="Y100" s="23"/>
      <c r="Z100" s="23"/>
      <c r="AA100" s="24"/>
      <c r="AB100" s="24"/>
      <c r="AC100" s="24"/>
      <c r="AD100" s="24"/>
      <c r="AE100" s="24"/>
      <c r="AF100" s="24"/>
      <c r="AG100" s="24"/>
      <c r="AH100" s="24"/>
      <c r="AI100" s="24"/>
      <c r="AJ100" s="24"/>
      <c r="AK100" s="24"/>
      <c r="AL100" s="24"/>
      <c r="AM100" s="25"/>
      <c r="AN100" s="25"/>
      <c r="AP100" s="25"/>
      <c r="AQ100" s="24"/>
      <c r="AR100" s="24"/>
      <c r="AS100" s="24"/>
      <c r="AT100" s="24"/>
      <c r="AU100" s="24"/>
      <c r="AV100" s="24"/>
      <c r="AW100" s="24"/>
      <c r="AX100" s="24"/>
      <c r="AY100" s="24"/>
      <c r="AZ100" s="24"/>
      <c r="BA100" s="24"/>
      <c r="BB100" s="24"/>
      <c r="BC100" s="24"/>
      <c r="BD100" s="24"/>
      <c r="BE100" s="24"/>
      <c r="BF100" s="24"/>
      <c r="BH100" s="26"/>
      <c r="BJ100" s="24"/>
      <c r="BK100" s="24"/>
      <c r="BL100" s="24"/>
      <c r="BM100" s="24"/>
      <c r="BN100" s="24"/>
      <c r="BO100" s="24"/>
      <c r="BP100" s="24"/>
      <c r="BQ100" s="24"/>
      <c r="BR100" s="24"/>
      <c r="BS100" s="24"/>
      <c r="BT100" s="24"/>
      <c r="BU100" s="24"/>
      <c r="BV100" s="24"/>
      <c r="BW100" s="24"/>
      <c r="BX100" s="24"/>
      <c r="BY100" s="24"/>
      <c r="BZ100" s="24"/>
      <c r="CA100" s="24"/>
      <c r="CB100" s="22"/>
      <c r="CC100" s="24"/>
      <c r="CD100" s="24"/>
      <c r="CE100" s="24"/>
      <c r="CF100" s="24"/>
      <c r="CG100" s="24"/>
      <c r="CH100" s="22"/>
      <c r="CI100" s="24"/>
      <c r="CJ100" s="24"/>
      <c r="CK100" s="22"/>
      <c r="CL100" s="22"/>
      <c r="CM100" s="22"/>
      <c r="CN100" s="22"/>
      <c r="CO100" s="22"/>
    </row>
    <row r="101" spans="1:93" ht="15.75" customHeight="1" x14ac:dyDescent="0.45">
      <c r="C101" s="21" t="s">
        <v>229</v>
      </c>
      <c r="K101" s="119" t="s">
        <v>229</v>
      </c>
      <c r="N101" s="191" t="s">
        <v>21</v>
      </c>
      <c r="P101" s="433"/>
    </row>
    <row r="102" spans="1:93" ht="15.75" customHeight="1" x14ac:dyDescent="0.45">
      <c r="C102" s="21" t="s">
        <v>230</v>
      </c>
      <c r="D102" s="191" t="s">
        <v>21</v>
      </c>
      <c r="F102" s="414"/>
      <c r="H102" s="120" t="s">
        <v>180</v>
      </c>
      <c r="K102" s="119" t="s">
        <v>231</v>
      </c>
      <c r="N102" s="191" t="s">
        <v>21</v>
      </c>
      <c r="P102" s="433"/>
    </row>
    <row r="103" spans="1:93" ht="15.75" customHeight="1" x14ac:dyDescent="0.45">
      <c r="C103" s="21" t="s">
        <v>224</v>
      </c>
      <c r="D103" s="191" t="s">
        <v>25</v>
      </c>
      <c r="F103" s="414"/>
      <c r="H103" s="21" t="s">
        <v>232</v>
      </c>
      <c r="K103" s="119" t="s">
        <v>233</v>
      </c>
      <c r="N103" s="191" t="s">
        <v>21</v>
      </c>
      <c r="P103" s="433"/>
    </row>
    <row r="104" spans="1:93" ht="15.75" customHeight="1" x14ac:dyDescent="0.55000000000000004">
      <c r="C104" s="21" t="s">
        <v>234</v>
      </c>
    </row>
    <row r="105" spans="1:93" ht="15.75" customHeight="1" x14ac:dyDescent="0.45">
      <c r="C105" s="21" t="s">
        <v>230</v>
      </c>
      <c r="D105" s="191" t="s">
        <v>21</v>
      </c>
      <c r="F105" s="414"/>
      <c r="H105" s="120" t="s">
        <v>180</v>
      </c>
      <c r="K105" s="119" t="s">
        <v>235</v>
      </c>
      <c r="N105" s="191" t="s">
        <v>21</v>
      </c>
      <c r="P105" s="433"/>
    </row>
    <row r="106" spans="1:93" ht="15.75" customHeight="1" x14ac:dyDescent="0.45">
      <c r="C106" s="21" t="s">
        <v>224</v>
      </c>
      <c r="D106" s="191" t="s">
        <v>25</v>
      </c>
      <c r="F106" s="414"/>
      <c r="H106" s="21" t="s">
        <v>232</v>
      </c>
      <c r="K106" s="119" t="s">
        <v>251</v>
      </c>
      <c r="N106" s="191" t="s">
        <v>21</v>
      </c>
      <c r="P106" s="433"/>
    </row>
    <row r="107" spans="1:93" ht="15.75" customHeight="1" x14ac:dyDescent="0.45">
      <c r="C107" s="21" t="s">
        <v>233</v>
      </c>
      <c r="K107" s="119" t="s">
        <v>237</v>
      </c>
      <c r="N107" s="191" t="s">
        <v>21</v>
      </c>
      <c r="P107" s="433"/>
    </row>
    <row r="108" spans="1:93" x14ac:dyDescent="0.45">
      <c r="C108" s="21" t="s">
        <v>230</v>
      </c>
      <c r="D108" s="191" t="s">
        <v>21</v>
      </c>
      <c r="F108" s="414"/>
      <c r="H108" s="120" t="s">
        <v>180</v>
      </c>
    </row>
    <row r="109" spans="1:93" x14ac:dyDescent="0.45">
      <c r="C109" s="21" t="s">
        <v>224</v>
      </c>
      <c r="D109" s="191" t="s">
        <v>25</v>
      </c>
      <c r="F109" s="414"/>
      <c r="H109" s="21" t="s">
        <v>232</v>
      </c>
    </row>
    <row r="110" spans="1:93" x14ac:dyDescent="0.55000000000000004"/>
    <row r="111" spans="1:93" ht="15.75" customHeight="1" x14ac:dyDescent="0.55000000000000004">
      <c r="A111" s="207"/>
      <c r="B111" s="223" t="s">
        <v>238</v>
      </c>
      <c r="C111" s="423"/>
      <c r="I111" s="214"/>
      <c r="J111" s="223" t="s">
        <v>238</v>
      </c>
      <c r="P111" s="35" t="s">
        <v>239</v>
      </c>
      <c r="V111" s="289"/>
      <c r="Y111" s="23"/>
      <c r="Z111" s="23"/>
      <c r="AA111" s="24"/>
      <c r="AB111" s="24"/>
      <c r="AC111" s="24"/>
      <c r="AD111" s="24"/>
      <c r="AE111" s="24"/>
      <c r="AF111" s="24"/>
      <c r="AG111" s="24"/>
      <c r="AH111" s="24"/>
      <c r="AI111" s="24"/>
      <c r="AJ111" s="24"/>
      <c r="AK111" s="24"/>
      <c r="AL111" s="24"/>
      <c r="AM111" s="25"/>
      <c r="AN111" s="25"/>
      <c r="AP111" s="25"/>
      <c r="AQ111" s="24"/>
      <c r="AR111" s="24"/>
      <c r="AS111" s="24"/>
      <c r="AT111" s="24"/>
      <c r="AU111" s="24"/>
      <c r="AV111" s="24"/>
      <c r="AW111" s="24"/>
      <c r="AX111" s="24"/>
      <c r="AY111" s="24"/>
      <c r="AZ111" s="24"/>
      <c r="BA111" s="24"/>
      <c r="BB111" s="24"/>
      <c r="BC111" s="24"/>
      <c r="BD111" s="24"/>
      <c r="BE111" s="24"/>
      <c r="BF111" s="24"/>
      <c r="BH111" s="26"/>
      <c r="BJ111" s="24"/>
      <c r="BK111" s="24"/>
      <c r="BL111" s="24"/>
      <c r="BM111" s="24"/>
      <c r="BN111" s="24"/>
      <c r="BO111" s="24"/>
      <c r="BP111" s="24"/>
      <c r="BQ111" s="24"/>
      <c r="BR111" s="24"/>
      <c r="BS111" s="24"/>
      <c r="BT111" s="24"/>
      <c r="BU111" s="24"/>
      <c r="BV111" s="24"/>
      <c r="BW111" s="24"/>
      <c r="BX111" s="24"/>
      <c r="BY111" s="24"/>
      <c r="BZ111" s="24"/>
      <c r="CA111" s="24"/>
      <c r="CB111" s="22"/>
      <c r="CC111" s="24"/>
      <c r="CD111" s="24"/>
      <c r="CE111" s="24"/>
      <c r="CF111" s="24"/>
      <c r="CG111" s="24"/>
      <c r="CH111" s="22"/>
      <c r="CI111" s="24"/>
      <c r="CJ111" s="24"/>
      <c r="CK111" s="22"/>
      <c r="CL111" s="22"/>
      <c r="CM111" s="22"/>
      <c r="CN111" s="22"/>
      <c r="CO111" s="22"/>
    </row>
    <row r="112" spans="1:93" x14ac:dyDescent="0.45">
      <c r="C112" s="21" t="s">
        <v>239</v>
      </c>
      <c r="K112" s="119" t="s">
        <v>230</v>
      </c>
      <c r="N112" s="191" t="s">
        <v>21</v>
      </c>
      <c r="P112" s="433"/>
    </row>
    <row r="113" spans="3:16" x14ac:dyDescent="0.45">
      <c r="C113" s="21" t="s">
        <v>230</v>
      </c>
      <c r="D113" s="191" t="s">
        <v>21</v>
      </c>
      <c r="F113" s="433"/>
      <c r="H113" s="120" t="s">
        <v>180</v>
      </c>
      <c r="K113" s="119" t="s">
        <v>224</v>
      </c>
      <c r="N113" s="191" t="s">
        <v>25</v>
      </c>
      <c r="P113" s="433"/>
    </row>
    <row r="114" spans="3:16" x14ac:dyDescent="0.45">
      <c r="C114" s="21" t="s">
        <v>396</v>
      </c>
      <c r="D114" s="191" t="s">
        <v>25</v>
      </c>
      <c r="F114" s="433"/>
      <c r="H114" s="21" t="s">
        <v>240</v>
      </c>
      <c r="K114" s="275" t="s">
        <v>226</v>
      </c>
      <c r="L114" s="241"/>
      <c r="M114" s="241"/>
      <c r="N114" s="242" t="s">
        <v>21</v>
      </c>
      <c r="O114" s="335"/>
      <c r="P114" s="433"/>
    </row>
    <row r="115" spans="3:16" x14ac:dyDescent="0.55000000000000004">
      <c r="C115" s="21" t="s">
        <v>241</v>
      </c>
      <c r="N115" s="21"/>
    </row>
    <row r="116" spans="3:16" x14ac:dyDescent="0.45">
      <c r="C116" s="21" t="s">
        <v>242</v>
      </c>
      <c r="D116" s="191" t="s">
        <v>21</v>
      </c>
      <c r="F116" s="433"/>
      <c r="H116" s="120" t="s">
        <v>180</v>
      </c>
      <c r="O116" s="191"/>
      <c r="P116" s="35" t="s">
        <v>243</v>
      </c>
    </row>
    <row r="117" spans="3:16" x14ac:dyDescent="0.45">
      <c r="C117" s="21" t="s">
        <v>397</v>
      </c>
      <c r="D117" s="191" t="s">
        <v>25</v>
      </c>
      <c r="F117" s="433"/>
      <c r="H117" s="21" t="s">
        <v>240</v>
      </c>
      <c r="K117" s="119" t="s">
        <v>230</v>
      </c>
      <c r="N117" s="191" t="s">
        <v>21</v>
      </c>
      <c r="O117" s="191"/>
      <c r="P117" s="433"/>
    </row>
    <row r="118" spans="3:16" x14ac:dyDescent="0.45">
      <c r="C118" s="21" t="s">
        <v>244</v>
      </c>
      <c r="K118" s="119" t="s">
        <v>224</v>
      </c>
      <c r="N118" s="191" t="s">
        <v>25</v>
      </c>
      <c r="O118" s="191"/>
      <c r="P118" s="433"/>
    </row>
    <row r="119" spans="3:16" x14ac:dyDescent="0.45">
      <c r="C119" s="21" t="s">
        <v>242</v>
      </c>
      <c r="D119" s="191" t="s">
        <v>21</v>
      </c>
      <c r="F119" s="433"/>
      <c r="H119" s="120" t="s">
        <v>180</v>
      </c>
      <c r="K119" s="275" t="s">
        <v>226</v>
      </c>
      <c r="L119" s="241"/>
      <c r="M119" s="241"/>
      <c r="N119" s="242" t="s">
        <v>21</v>
      </c>
      <c r="O119" s="335"/>
      <c r="P119" s="433"/>
    </row>
    <row r="120" spans="3:16" x14ac:dyDescent="0.45">
      <c r="C120" s="21" t="s">
        <v>397</v>
      </c>
      <c r="D120" s="191" t="s">
        <v>25</v>
      </c>
      <c r="F120" s="433"/>
      <c r="H120" s="21" t="s">
        <v>245</v>
      </c>
      <c r="N120" s="21"/>
    </row>
    <row r="121" spans="3:16" x14ac:dyDescent="0.55000000000000004">
      <c r="O121" s="191"/>
      <c r="P121" s="35" t="s">
        <v>246</v>
      </c>
    </row>
    <row r="122" spans="3:16" x14ac:dyDescent="0.45">
      <c r="C122" s="21" t="s">
        <v>247</v>
      </c>
      <c r="D122" s="191" t="s">
        <v>21</v>
      </c>
      <c r="F122" s="433"/>
      <c r="H122" s="120" t="s">
        <v>180</v>
      </c>
      <c r="K122" s="119" t="s">
        <v>230</v>
      </c>
      <c r="N122" s="191" t="s">
        <v>21</v>
      </c>
      <c r="O122" s="191"/>
      <c r="P122" s="433"/>
    </row>
    <row r="123" spans="3:16" x14ac:dyDescent="0.45">
      <c r="C123" s="21" t="s">
        <v>248</v>
      </c>
      <c r="D123" s="191" t="s">
        <v>21</v>
      </c>
      <c r="F123" s="433"/>
      <c r="H123" s="120" t="s">
        <v>180</v>
      </c>
      <c r="K123" s="119" t="s">
        <v>224</v>
      </c>
      <c r="N123" s="191" t="s">
        <v>25</v>
      </c>
      <c r="O123" s="191"/>
      <c r="P123" s="433"/>
    </row>
    <row r="124" spans="3:16" x14ac:dyDescent="0.45">
      <c r="K124" s="275" t="s">
        <v>226</v>
      </c>
      <c r="L124" s="241"/>
      <c r="M124" s="241"/>
      <c r="N124" s="242" t="s">
        <v>21</v>
      </c>
      <c r="O124" s="335"/>
      <c r="P124" s="433"/>
    </row>
    <row r="125" spans="3:16" x14ac:dyDescent="0.55000000000000004"/>
    <row r="126" spans="3:16" x14ac:dyDescent="0.45">
      <c r="K126" s="119" t="s">
        <v>249</v>
      </c>
      <c r="N126" s="191" t="s">
        <v>21</v>
      </c>
      <c r="P126" s="433"/>
    </row>
    <row r="127" spans="3:16" x14ac:dyDescent="0.45">
      <c r="K127" s="119" t="s">
        <v>250</v>
      </c>
      <c r="N127" s="191" t="s">
        <v>21</v>
      </c>
      <c r="P127" s="433"/>
    </row>
    <row r="128" spans="3:16" x14ac:dyDescent="0.55000000000000004"/>
    <row r="129" spans="1:104" x14ac:dyDescent="0.45">
      <c r="K129" s="119" t="s">
        <v>251</v>
      </c>
      <c r="N129" s="191" t="s">
        <v>21</v>
      </c>
      <c r="P129" s="433"/>
    </row>
    <row r="130" spans="1:104" x14ac:dyDescent="0.45">
      <c r="K130" s="21" t="s">
        <v>252</v>
      </c>
      <c r="P130" s="433"/>
    </row>
    <row r="131" spans="1:104" x14ac:dyDescent="0.45">
      <c r="K131" s="119" t="s">
        <v>237</v>
      </c>
      <c r="N131" s="191" t="s">
        <v>21</v>
      </c>
      <c r="P131" s="433"/>
    </row>
    <row r="132" spans="1:104" x14ac:dyDescent="0.55000000000000004">
      <c r="K132" s="21"/>
      <c r="N132" s="21"/>
    </row>
    <row r="133" spans="1:104" ht="15.75" customHeight="1" thickBot="1" x14ac:dyDescent="0.6">
      <c r="A133" s="210" t="s">
        <v>45</v>
      </c>
      <c r="B133" s="225"/>
      <c r="C133" s="202"/>
      <c r="D133" s="203"/>
      <c r="E133" s="202"/>
      <c r="F133" s="202"/>
      <c r="G133" s="202"/>
      <c r="H133" s="202"/>
      <c r="I133" s="217" t="s">
        <v>253</v>
      </c>
      <c r="J133" s="225"/>
      <c r="K133" s="338"/>
      <c r="L133" s="202"/>
      <c r="M133" s="202"/>
      <c r="N133" s="203"/>
      <c r="O133" s="202"/>
      <c r="P133" s="202"/>
      <c r="Q133" s="202"/>
      <c r="R133" s="202"/>
      <c r="S133" s="202"/>
      <c r="T133" s="202"/>
      <c r="U133" s="202"/>
      <c r="V133" s="289"/>
      <c r="Y133" s="23"/>
      <c r="Z133" s="23"/>
      <c r="AA133" s="24"/>
      <c r="AB133" s="24"/>
      <c r="AC133" s="24"/>
      <c r="AD133" s="24"/>
      <c r="AE133" s="24"/>
      <c r="AF133" s="24"/>
      <c r="AG133" s="24"/>
      <c r="AH133" s="24"/>
      <c r="AI133" s="24"/>
      <c r="AJ133" s="24"/>
      <c r="AK133" s="24"/>
      <c r="AL133" s="24"/>
      <c r="AM133" s="24"/>
      <c r="AN133" s="24"/>
      <c r="AO133" s="24"/>
      <c r="AP133" s="24"/>
      <c r="AQ133" s="24"/>
      <c r="AR133" s="24"/>
      <c r="AS133" s="24"/>
      <c r="AT133" s="25"/>
      <c r="AU133" s="25"/>
      <c r="AV133" s="26"/>
      <c r="AW133" s="25"/>
      <c r="AX133" s="24"/>
      <c r="AY133" s="24"/>
      <c r="AZ133" s="24"/>
      <c r="BA133" s="24"/>
      <c r="BB133" s="24"/>
      <c r="BC133" s="24"/>
      <c r="BD133" s="24"/>
      <c r="BE133" s="24"/>
      <c r="BF133" s="24"/>
      <c r="BG133" s="24"/>
      <c r="BH133" s="24"/>
      <c r="BI133" s="24"/>
      <c r="BJ133" s="24"/>
      <c r="BK133" s="24"/>
      <c r="BL133" s="24"/>
      <c r="BM133" s="24"/>
      <c r="BN133" s="24"/>
      <c r="BO133" s="24"/>
      <c r="BP133" s="24"/>
      <c r="BQ133" s="24"/>
      <c r="BR133" s="24"/>
      <c r="BT133" s="26"/>
      <c r="BV133" s="24"/>
      <c r="BW133" s="24"/>
      <c r="BX133" s="24"/>
      <c r="BY133" s="24"/>
      <c r="BZ133" s="24"/>
      <c r="CA133" s="24"/>
      <c r="CB133" s="24"/>
      <c r="CC133" s="24"/>
      <c r="CD133" s="24"/>
      <c r="CE133" s="24"/>
      <c r="CF133" s="24"/>
      <c r="CG133" s="24"/>
      <c r="CH133" s="24"/>
      <c r="CI133" s="24"/>
      <c r="CJ133" s="24"/>
      <c r="CK133" s="24"/>
      <c r="CL133" s="22"/>
      <c r="CM133" s="24"/>
      <c r="CN133" s="24"/>
      <c r="CO133" s="24"/>
      <c r="CP133" s="24"/>
      <c r="CQ133" s="24"/>
      <c r="CR133" s="22"/>
      <c r="CS133" s="24"/>
      <c r="CT133" s="24"/>
      <c r="CV133" s="22"/>
      <c r="CW133" s="22"/>
      <c r="CX133" s="22"/>
      <c r="CY133" s="22"/>
      <c r="CZ133" s="22"/>
    </row>
    <row r="134" spans="1:104" x14ac:dyDescent="0.55000000000000004"/>
    <row r="135" spans="1:104" ht="15.75" customHeight="1" x14ac:dyDescent="0.55000000000000004">
      <c r="A135" s="207"/>
      <c r="B135" s="223" t="s">
        <v>254</v>
      </c>
      <c r="C135" s="422"/>
      <c r="D135" s="198"/>
      <c r="E135" s="26"/>
      <c r="I135" s="214"/>
      <c r="J135" s="223" t="s">
        <v>254</v>
      </c>
      <c r="O135" s="21" t="s">
        <v>18</v>
      </c>
      <c r="P135" s="21" t="s">
        <v>200</v>
      </c>
      <c r="T135" s="191"/>
      <c r="V135" s="289"/>
      <c r="Y135" s="23"/>
      <c r="Z135" s="23"/>
      <c r="AA135" s="24"/>
      <c r="AB135" s="24"/>
      <c r="AC135" s="24"/>
      <c r="AD135" s="24"/>
      <c r="AE135" s="24"/>
      <c r="AF135" s="24"/>
      <c r="AG135" s="24"/>
      <c r="AH135" s="24"/>
      <c r="AI135" s="24"/>
      <c r="AJ135" s="24"/>
      <c r="AK135" s="24"/>
      <c r="AL135" s="24"/>
      <c r="AM135" s="24"/>
      <c r="AN135" s="24"/>
      <c r="AO135" s="24"/>
      <c r="AP135" s="24"/>
      <c r="AQ135" s="24"/>
      <c r="AR135" s="24"/>
      <c r="AS135" s="24"/>
      <c r="AT135" s="25"/>
      <c r="AU135" s="25"/>
      <c r="AV135" s="26"/>
      <c r="AW135" s="25"/>
      <c r="AX135" s="24"/>
      <c r="AY135" s="24"/>
      <c r="AZ135" s="24"/>
      <c r="BA135" s="24"/>
      <c r="BB135" s="24"/>
      <c r="BC135" s="24"/>
      <c r="BD135" s="24"/>
      <c r="BE135" s="24"/>
      <c r="BF135" s="24"/>
      <c r="BG135" s="24"/>
      <c r="BH135" s="24"/>
      <c r="BI135" s="24"/>
      <c r="BJ135" s="24"/>
      <c r="BK135" s="24"/>
      <c r="BL135" s="24"/>
      <c r="BM135" s="24"/>
      <c r="BN135" s="24"/>
      <c r="BO135" s="24"/>
      <c r="BP135" s="24"/>
      <c r="BQ135" s="24"/>
      <c r="BR135" s="24"/>
      <c r="BT135" s="26"/>
      <c r="BV135" s="24"/>
      <c r="BW135" s="24"/>
      <c r="BX135" s="24"/>
      <c r="BY135" s="24"/>
      <c r="BZ135" s="24"/>
      <c r="CA135" s="24"/>
      <c r="CB135" s="24"/>
      <c r="CC135" s="24"/>
      <c r="CD135" s="24"/>
      <c r="CE135" s="24"/>
      <c r="CF135" s="24"/>
      <c r="CG135" s="24"/>
      <c r="CH135" s="24"/>
      <c r="CI135" s="24"/>
      <c r="CJ135" s="24"/>
      <c r="CK135" s="24"/>
      <c r="CL135" s="22"/>
      <c r="CM135" s="24"/>
      <c r="CN135" s="24"/>
      <c r="CO135" s="24"/>
      <c r="CP135" s="24"/>
      <c r="CQ135" s="24"/>
      <c r="CR135" s="22"/>
      <c r="CS135" s="24"/>
      <c r="CT135" s="24"/>
      <c r="CV135" s="22"/>
      <c r="CW135" s="22"/>
      <c r="CX135" s="22"/>
      <c r="CY135" s="22"/>
      <c r="CZ135" s="22"/>
    </row>
    <row r="136" spans="1:104" x14ac:dyDescent="0.45">
      <c r="C136" s="425"/>
      <c r="D136" s="198"/>
      <c r="E136" s="26"/>
      <c r="F136" s="26" t="s">
        <v>97</v>
      </c>
      <c r="K136" s="119" t="s">
        <v>255</v>
      </c>
      <c r="N136" s="191" t="s">
        <v>21</v>
      </c>
      <c r="O136" s="173">
        <f>F137</f>
        <v>0</v>
      </c>
      <c r="P136" s="169"/>
    </row>
    <row r="137" spans="1:104" x14ac:dyDescent="0.45">
      <c r="C137" s="21" t="s">
        <v>181</v>
      </c>
      <c r="D137" s="191" t="s">
        <v>21</v>
      </c>
      <c r="F137" s="413"/>
      <c r="H137" s="120" t="s">
        <v>180</v>
      </c>
      <c r="K137" s="119" t="s">
        <v>257</v>
      </c>
      <c r="N137" s="191" t="s">
        <v>21</v>
      </c>
      <c r="O137" s="176">
        <f>F138*O17</f>
        <v>0</v>
      </c>
      <c r="P137" s="169"/>
    </row>
    <row r="138" spans="1:104" x14ac:dyDescent="0.45">
      <c r="C138" s="21" t="s">
        <v>256</v>
      </c>
      <c r="D138" s="191" t="s">
        <v>21</v>
      </c>
      <c r="F138" s="413"/>
      <c r="H138" s="120" t="s">
        <v>180</v>
      </c>
      <c r="K138" s="119" t="s">
        <v>259</v>
      </c>
      <c r="N138" s="191" t="s">
        <v>21</v>
      </c>
      <c r="O138" s="173">
        <f>F139</f>
        <v>0</v>
      </c>
      <c r="P138" s="169"/>
    </row>
    <row r="139" spans="1:104" x14ac:dyDescent="0.45">
      <c r="C139" s="21" t="s">
        <v>258</v>
      </c>
      <c r="D139" s="191" t="s">
        <v>21</v>
      </c>
      <c r="F139" s="413"/>
      <c r="H139" s="120" t="s">
        <v>180</v>
      </c>
      <c r="K139" s="119" t="s">
        <v>260</v>
      </c>
      <c r="M139" s="21" t="s">
        <v>261</v>
      </c>
      <c r="N139" s="191" t="s">
        <v>25</v>
      </c>
      <c r="O139" s="140">
        <f>F83</f>
        <v>1.95E-2</v>
      </c>
      <c r="P139" s="169"/>
    </row>
    <row r="140" spans="1:104" x14ac:dyDescent="0.45">
      <c r="M140" s="21" t="s">
        <v>262</v>
      </c>
      <c r="N140" s="191" t="s">
        <v>25</v>
      </c>
      <c r="O140" s="381">
        <f>P86</f>
        <v>0</v>
      </c>
      <c r="P140" s="169"/>
    </row>
    <row r="141" spans="1:104" x14ac:dyDescent="0.45">
      <c r="M141" s="21" t="s">
        <v>263</v>
      </c>
      <c r="N141" s="191" t="s">
        <v>25</v>
      </c>
      <c r="O141" s="140">
        <f>O140-O139</f>
        <v>-1.95E-2</v>
      </c>
      <c r="P141" s="169"/>
    </row>
    <row r="142" spans="1:104" x14ac:dyDescent="0.45">
      <c r="M142" s="141" t="s">
        <v>264</v>
      </c>
      <c r="N142" s="191" t="s">
        <v>21</v>
      </c>
      <c r="O142" s="176">
        <f>SUM(AK18:AK49)</f>
        <v>0</v>
      </c>
      <c r="P142" s="169"/>
    </row>
    <row r="143" spans="1:104" x14ac:dyDescent="0.55000000000000004"/>
    <row r="144" spans="1:104" s="142" customFormat="1" ht="15" customHeight="1" thickBot="1" x14ac:dyDescent="0.6">
      <c r="B144" s="142" t="s">
        <v>265</v>
      </c>
      <c r="C144" s="424"/>
      <c r="D144" s="190"/>
      <c r="E144" s="167"/>
      <c r="F144" s="167"/>
      <c r="I144" s="333"/>
      <c r="N144" s="190"/>
      <c r="O144" s="167"/>
      <c r="P144" s="167"/>
    </row>
    <row r="145" ht="17" thickTop="1" x14ac:dyDescent="0.55000000000000004"/>
    <row r="146" x14ac:dyDescent="0.55000000000000004"/>
    <row r="147" x14ac:dyDescent="0.55000000000000004"/>
    <row r="148" x14ac:dyDescent="0.55000000000000004"/>
    <row r="149" x14ac:dyDescent="0.55000000000000004"/>
    <row r="150" x14ac:dyDescent="0.55000000000000004"/>
    <row r="151" x14ac:dyDescent="0.55000000000000004"/>
    <row r="152" x14ac:dyDescent="0.55000000000000004"/>
    <row r="153" x14ac:dyDescent="0.55000000000000004"/>
    <row r="154" x14ac:dyDescent="0.55000000000000004"/>
    <row r="155" x14ac:dyDescent="0.55000000000000004"/>
    <row r="156" x14ac:dyDescent="0.55000000000000004"/>
    <row r="157" x14ac:dyDescent="0.55000000000000004"/>
    <row r="158" x14ac:dyDescent="0.55000000000000004"/>
    <row r="159" x14ac:dyDescent="0.55000000000000004"/>
    <row r="160" x14ac:dyDescent="0.55000000000000004"/>
    <row r="161" x14ac:dyDescent="0.55000000000000004"/>
    <row r="162" x14ac:dyDescent="0.55000000000000004"/>
    <row r="163" x14ac:dyDescent="0.55000000000000004"/>
    <row r="164" x14ac:dyDescent="0.55000000000000004"/>
    <row r="165" x14ac:dyDescent="0.55000000000000004"/>
    <row r="166" x14ac:dyDescent="0.55000000000000004"/>
    <row r="167" x14ac:dyDescent="0.55000000000000004"/>
    <row r="168" x14ac:dyDescent="0.55000000000000004"/>
    <row r="169" x14ac:dyDescent="0.55000000000000004"/>
    <row r="170" x14ac:dyDescent="0.55000000000000004"/>
  </sheetData>
  <phoneticPr fontId="2"/>
  <dataValidations count="1">
    <dataValidation type="list" allowBlank="1" showInputMessage="1" showErrorMessage="1" sqref="F14" xr:uid="{CBC886EA-95AB-40C2-AA29-41858A0919AD}">
      <formula1>$O$14:$Q$14</formula1>
    </dataValidation>
  </dataValidations>
  <pageMargins left="0.23622047244094491" right="0.23622047244094491" top="0.74803149606299213" bottom="0.74803149606299213" header="0.31496062992125984" footer="0.31496062992125984"/>
  <pageSetup paperSize="8" scale="22" fitToHeight="0" orientation="landscape" r:id="rId1"/>
  <colBreaks count="2" manualBreakCount="2">
    <brk id="21" max="1048575" man="1"/>
    <brk id="58" max="14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3C868-D685-44E1-9B5A-E2DA6E64BC32}">
  <sheetPr>
    <tabColor rgb="FFFFC000"/>
    <pageSetUpPr fitToPage="1"/>
  </sheetPr>
  <dimension ref="A1:DJ181"/>
  <sheetViews>
    <sheetView showGridLines="0" view="pageBreakPreview" zoomScale="85" zoomScaleNormal="40" zoomScaleSheetLayoutView="85" workbookViewId="0"/>
  </sheetViews>
  <sheetFormatPr defaultColWidth="0" defaultRowHeight="16.5" zeroHeight="1" outlineLevelCol="1" x14ac:dyDescent="0.55000000000000004"/>
  <cols>
    <col min="1" max="2" width="4.25" style="21" customWidth="1"/>
    <col min="3" max="3" width="40.08203125" style="21" bestFit="1" customWidth="1"/>
    <col min="4" max="4" width="7.33203125" style="191" customWidth="1"/>
    <col min="5" max="6" width="15.08203125" style="21" customWidth="1"/>
    <col min="7" max="7" width="4.75" style="21" customWidth="1"/>
    <col min="8" max="8" width="35.08203125" style="21" customWidth="1"/>
    <col min="9" max="9" width="1.58203125" style="289" customWidth="1"/>
    <col min="10" max="10" width="4.25" style="21" customWidth="1" outlineLevel="1"/>
    <col min="11" max="11" width="12.5" style="21" customWidth="1" outlineLevel="1"/>
    <col min="12" max="12" width="1.83203125" style="21" customWidth="1" outlineLevel="1"/>
    <col min="13" max="13" width="30.83203125" style="21" customWidth="1" outlineLevel="1"/>
    <col min="14" max="14" width="11.25" style="191" customWidth="1" outlineLevel="1"/>
    <col min="15" max="16" width="15.08203125" style="21" customWidth="1" outlineLevel="1"/>
    <col min="17" max="17" width="4.75" style="21" customWidth="1" outlineLevel="1"/>
    <col min="18" max="18" width="10" style="21" customWidth="1" outlineLevel="1"/>
    <col min="19" max="19" width="19.25" style="21" customWidth="1" outlineLevel="1"/>
    <col min="20" max="20" width="7.5" style="191" customWidth="1" outlineLevel="1"/>
    <col min="21" max="21" width="24.5" style="21" customWidth="1" outlineLevel="1"/>
    <col min="22" max="22" width="12" style="289" customWidth="1"/>
    <col min="23" max="23" width="9.58203125" style="21" customWidth="1"/>
    <col min="24" max="24" width="21.5" style="21" customWidth="1"/>
    <col min="25" max="26" width="10.83203125" style="23" customWidth="1"/>
    <col min="27" max="36" width="10.83203125" style="24" customWidth="1"/>
    <col min="37" max="39" width="10.83203125" style="25" customWidth="1"/>
    <col min="40" max="40" width="2.58203125" style="26" customWidth="1"/>
    <col min="41" max="41" width="10.83203125" style="25" customWidth="1"/>
    <col min="42" max="56" width="10.83203125" style="24" customWidth="1"/>
    <col min="57" max="57" width="2.58203125" style="22" customWidth="1"/>
    <col min="58" max="58" width="10.83203125" style="26" customWidth="1"/>
    <col min="59" max="59" width="2.58203125" style="22" customWidth="1"/>
    <col min="60" max="74" width="10.83203125" style="24" customWidth="1"/>
    <col min="75" max="75" width="12.58203125" style="22" hidden="1" customWidth="1"/>
    <col min="76" max="76" width="2.58203125" style="22" customWidth="1"/>
    <col min="77" max="77" width="10.83203125" style="24" hidden="1" customWidth="1"/>
    <col min="78" max="82" width="10.83203125" style="22" hidden="1" customWidth="1"/>
    <col min="83" max="84" width="9" style="21" hidden="1" customWidth="1"/>
    <col min="85" max="85" width="3.33203125" style="22" customWidth="1"/>
    <col min="86" max="86" width="9" style="22" hidden="1" customWidth="1"/>
    <col min="87" max="16384" width="9" style="21" hidden="1"/>
  </cols>
  <sheetData>
    <row r="1" spans="1:114" ht="15.75" customHeight="1" x14ac:dyDescent="0.55000000000000004">
      <c r="A1" s="207"/>
      <c r="B1" s="223"/>
      <c r="I1" s="214"/>
      <c r="J1" s="223"/>
      <c r="AK1" s="24"/>
      <c r="AL1" s="24"/>
      <c r="AN1" s="25"/>
      <c r="AO1" s="26"/>
      <c r="AP1" s="25"/>
      <c r="BE1" s="24"/>
      <c r="BF1" s="24"/>
      <c r="BH1" s="26"/>
      <c r="BI1" s="22"/>
      <c r="BW1" s="24"/>
      <c r="BX1" s="24"/>
      <c r="CG1" s="24"/>
      <c r="CH1" s="24"/>
      <c r="CI1" s="24"/>
      <c r="CJ1" s="24"/>
      <c r="CK1" s="22"/>
      <c r="CL1" s="24"/>
      <c r="CM1" s="24"/>
      <c r="CN1" s="24"/>
      <c r="CO1" s="24"/>
      <c r="CP1" s="24"/>
      <c r="CQ1" s="22"/>
      <c r="CR1" s="24"/>
      <c r="CS1" s="24"/>
      <c r="CT1" s="22"/>
      <c r="CU1" s="22"/>
      <c r="CV1" s="22"/>
      <c r="CW1" s="22"/>
      <c r="CX1" s="22"/>
    </row>
    <row r="2" spans="1:114" ht="26" x14ac:dyDescent="0.55000000000000004">
      <c r="A2" s="207"/>
      <c r="B2" s="223"/>
      <c r="C2" s="310" t="s">
        <v>276</v>
      </c>
      <c r="I2" s="214"/>
      <c r="J2" s="223"/>
      <c r="W2" s="310" t="s">
        <v>277</v>
      </c>
      <c r="AK2" s="24"/>
      <c r="AL2" s="24"/>
      <c r="AN2" s="25"/>
      <c r="AO2" s="26"/>
      <c r="AP2" s="25"/>
      <c r="BE2" s="24"/>
      <c r="BF2" s="24"/>
      <c r="BH2" s="26"/>
      <c r="BI2" s="22"/>
      <c r="BW2" s="24"/>
      <c r="BX2" s="24"/>
      <c r="CG2" s="24"/>
      <c r="CH2" s="24"/>
      <c r="CI2" s="24"/>
      <c r="CJ2" s="24"/>
      <c r="CK2" s="22"/>
      <c r="CL2" s="24"/>
      <c r="CM2" s="24"/>
      <c r="CN2" s="24"/>
      <c r="CO2" s="24"/>
      <c r="CP2" s="24"/>
      <c r="CQ2" s="22"/>
      <c r="CR2" s="24"/>
      <c r="CS2" s="24"/>
      <c r="CT2" s="22"/>
      <c r="CU2" s="22"/>
      <c r="CV2" s="22"/>
      <c r="CW2" s="22"/>
      <c r="CX2" s="22"/>
    </row>
    <row r="3" spans="1:114" ht="18" customHeight="1" x14ac:dyDescent="0.55000000000000004">
      <c r="A3" s="207"/>
      <c r="B3" s="223"/>
      <c r="C3" s="35" t="s">
        <v>78</v>
      </c>
      <c r="I3" s="214"/>
      <c r="J3" s="223"/>
      <c r="W3" s="310"/>
      <c r="AK3" s="24"/>
      <c r="AL3" s="24"/>
      <c r="AM3" s="24"/>
      <c r="AN3" s="24"/>
      <c r="AO3" s="24"/>
      <c r="AS3" s="25"/>
      <c r="AT3" s="25"/>
      <c r="AU3" s="26"/>
      <c r="AV3" s="25"/>
      <c r="BE3" s="24"/>
      <c r="BF3" s="24"/>
      <c r="BG3" s="24"/>
      <c r="BS3" s="22"/>
      <c r="BT3" s="26"/>
      <c r="BU3" s="22"/>
      <c r="BW3" s="24"/>
      <c r="BX3" s="24"/>
      <c r="BZ3" s="24"/>
      <c r="CA3" s="24"/>
      <c r="CB3" s="24"/>
      <c r="CD3" s="24"/>
      <c r="CE3" s="24"/>
      <c r="CF3" s="24"/>
      <c r="CG3" s="24"/>
      <c r="CH3" s="24"/>
      <c r="CI3" s="24"/>
      <c r="CJ3" s="24"/>
      <c r="CK3" s="24"/>
      <c r="CL3" s="24"/>
      <c r="CM3" s="24"/>
      <c r="CN3" s="24"/>
      <c r="CO3" s="24"/>
      <c r="CP3" s="24"/>
      <c r="CQ3" s="24"/>
      <c r="CR3" s="24"/>
      <c r="CS3" s="24"/>
      <c r="CT3" s="24"/>
      <c r="CU3" s="24"/>
      <c r="CV3" s="24"/>
      <c r="CW3" s="22"/>
      <c r="CX3" s="24"/>
      <c r="CY3" s="24"/>
      <c r="CZ3" s="24"/>
      <c r="DA3" s="24"/>
      <c r="DB3" s="24"/>
      <c r="DC3" s="22"/>
      <c r="DD3" s="24"/>
      <c r="DE3" s="24"/>
      <c r="DF3" s="22"/>
      <c r="DG3" s="22"/>
      <c r="DH3" s="22"/>
      <c r="DI3" s="22"/>
      <c r="DJ3" s="22"/>
    </row>
    <row r="4" spans="1:114" ht="18" customHeight="1" x14ac:dyDescent="0.45">
      <c r="A4" s="207"/>
      <c r="B4" s="223"/>
      <c r="C4" s="419" t="s">
        <v>79</v>
      </c>
      <c r="I4" s="214"/>
      <c r="J4" s="223"/>
      <c r="W4" s="310"/>
      <c r="AK4" s="24"/>
      <c r="AL4" s="24"/>
      <c r="AM4" s="24"/>
      <c r="AN4" s="24"/>
      <c r="AO4" s="24"/>
      <c r="AS4" s="25"/>
      <c r="AT4" s="25"/>
      <c r="AU4" s="26"/>
      <c r="AV4" s="25"/>
      <c r="BE4" s="24"/>
      <c r="BF4" s="24"/>
      <c r="BG4" s="24"/>
      <c r="BS4" s="22"/>
      <c r="BT4" s="26"/>
      <c r="BU4" s="22"/>
      <c r="BW4" s="24"/>
      <c r="BX4" s="24"/>
      <c r="BZ4" s="24"/>
      <c r="CA4" s="24"/>
      <c r="CB4" s="24"/>
      <c r="CD4" s="24"/>
      <c r="CE4" s="24"/>
      <c r="CF4" s="24"/>
      <c r="CG4" s="24"/>
      <c r="CH4" s="24"/>
      <c r="CI4" s="24"/>
      <c r="CJ4" s="24"/>
      <c r="CK4" s="24"/>
      <c r="CL4" s="24"/>
      <c r="CM4" s="24"/>
      <c r="CN4" s="24"/>
      <c r="CO4" s="24"/>
      <c r="CP4" s="24"/>
      <c r="CQ4" s="24"/>
      <c r="CR4" s="24"/>
      <c r="CS4" s="24"/>
      <c r="CT4" s="24"/>
      <c r="CU4" s="24"/>
      <c r="CV4" s="24"/>
      <c r="CW4" s="22"/>
      <c r="CX4" s="24"/>
      <c r="CY4" s="24"/>
      <c r="CZ4" s="24"/>
      <c r="DA4" s="24"/>
      <c r="DB4" s="24"/>
      <c r="DC4" s="22"/>
      <c r="DD4" s="24"/>
      <c r="DE4" s="24"/>
      <c r="DF4" s="22"/>
      <c r="DG4" s="22"/>
      <c r="DH4" s="22"/>
      <c r="DI4" s="22"/>
      <c r="DJ4" s="22"/>
    </row>
    <row r="5" spans="1:114" ht="18" customHeight="1" x14ac:dyDescent="0.45">
      <c r="A5" s="207"/>
      <c r="B5" s="223"/>
      <c r="C5" s="382" t="s">
        <v>80</v>
      </c>
      <c r="I5" s="214"/>
      <c r="J5" s="223"/>
      <c r="W5" s="310"/>
      <c r="AK5" s="24"/>
      <c r="AL5" s="24"/>
      <c r="AM5" s="24"/>
      <c r="AN5" s="24"/>
      <c r="AO5" s="24"/>
      <c r="AS5" s="25"/>
      <c r="AT5" s="25"/>
      <c r="AU5" s="26"/>
      <c r="AV5" s="25"/>
      <c r="BE5" s="24"/>
      <c r="BF5" s="24"/>
      <c r="BG5" s="24"/>
      <c r="BS5" s="22"/>
      <c r="BT5" s="26"/>
      <c r="BU5" s="22"/>
      <c r="BW5" s="24"/>
      <c r="BX5" s="24"/>
      <c r="BZ5" s="24"/>
      <c r="CA5" s="24"/>
      <c r="CB5" s="24"/>
      <c r="CD5" s="24"/>
      <c r="CE5" s="24"/>
      <c r="CF5" s="24"/>
      <c r="CG5" s="24"/>
      <c r="CH5" s="24"/>
      <c r="CI5" s="24"/>
      <c r="CJ5" s="24"/>
      <c r="CK5" s="24"/>
      <c r="CL5" s="24"/>
      <c r="CM5" s="24"/>
      <c r="CN5" s="24"/>
      <c r="CO5" s="24"/>
      <c r="CP5" s="24"/>
      <c r="CQ5" s="24"/>
      <c r="CR5" s="24"/>
      <c r="CS5" s="24"/>
      <c r="CT5" s="24"/>
      <c r="CU5" s="24"/>
      <c r="CV5" s="24"/>
      <c r="CW5" s="22"/>
      <c r="CX5" s="24"/>
      <c r="CY5" s="24"/>
      <c r="CZ5" s="24"/>
      <c r="DA5" s="24"/>
      <c r="DB5" s="24"/>
      <c r="DC5" s="22"/>
      <c r="DD5" s="24"/>
      <c r="DE5" s="24"/>
      <c r="DF5" s="22"/>
      <c r="DG5" s="22"/>
      <c r="DH5" s="22"/>
      <c r="DI5" s="22"/>
      <c r="DJ5" s="22"/>
    </row>
    <row r="6" spans="1:114" ht="18" customHeight="1" x14ac:dyDescent="0.45">
      <c r="A6" s="207"/>
      <c r="B6" s="223"/>
      <c r="C6" s="420" t="s">
        <v>81</v>
      </c>
      <c r="I6" s="214"/>
      <c r="J6" s="223"/>
      <c r="W6" s="310"/>
      <c r="AK6" s="24"/>
      <c r="AL6" s="24"/>
      <c r="AM6" s="24"/>
      <c r="AN6" s="24"/>
      <c r="AO6" s="24"/>
      <c r="AS6" s="25"/>
      <c r="AT6" s="25"/>
      <c r="AU6" s="26"/>
      <c r="AV6" s="25"/>
      <c r="BE6" s="24"/>
      <c r="BF6" s="24"/>
      <c r="BG6" s="24"/>
      <c r="BS6" s="22"/>
      <c r="BT6" s="26"/>
      <c r="BU6" s="22"/>
      <c r="BW6" s="24"/>
      <c r="BX6" s="24"/>
      <c r="BZ6" s="24"/>
      <c r="CA6" s="24"/>
      <c r="CB6" s="24"/>
      <c r="CD6" s="24"/>
      <c r="CE6" s="24"/>
      <c r="CF6" s="24"/>
      <c r="CG6" s="24"/>
      <c r="CH6" s="24"/>
      <c r="CI6" s="24"/>
      <c r="CJ6" s="24"/>
      <c r="CK6" s="24"/>
      <c r="CL6" s="24"/>
      <c r="CM6" s="24"/>
      <c r="CN6" s="24"/>
      <c r="CO6" s="24"/>
      <c r="CP6" s="24"/>
      <c r="CQ6" s="24"/>
      <c r="CR6" s="24"/>
      <c r="CS6" s="24"/>
      <c r="CT6" s="24"/>
      <c r="CU6" s="24"/>
      <c r="CV6" s="24"/>
      <c r="CW6" s="22"/>
      <c r="CX6" s="24"/>
      <c r="CY6" s="24"/>
      <c r="CZ6" s="24"/>
      <c r="DA6" s="24"/>
      <c r="DB6" s="24"/>
      <c r="DC6" s="22"/>
      <c r="DD6" s="24"/>
      <c r="DE6" s="24"/>
      <c r="DF6" s="22"/>
      <c r="DG6" s="22"/>
      <c r="DH6" s="22"/>
      <c r="DI6" s="22"/>
      <c r="DJ6" s="22"/>
    </row>
    <row r="7" spans="1:114" ht="15.75" customHeight="1" x14ac:dyDescent="0.55000000000000004"/>
    <row r="8" spans="1:114" s="35" customFormat="1" ht="15.75" customHeight="1" x14ac:dyDescent="0.55000000000000004">
      <c r="A8" s="27" t="s">
        <v>82</v>
      </c>
      <c r="B8" s="27"/>
      <c r="C8" s="27"/>
      <c r="D8" s="195"/>
      <c r="E8" s="27"/>
      <c r="F8" s="27"/>
      <c r="G8" s="27"/>
      <c r="H8" s="27"/>
      <c r="I8" s="336"/>
      <c r="J8" s="186" t="s">
        <v>83</v>
      </c>
      <c r="K8" s="28"/>
      <c r="L8" s="28"/>
      <c r="M8" s="28"/>
      <c r="N8" s="192"/>
      <c r="O8" s="28"/>
      <c r="P8" s="28"/>
      <c r="Q8" s="28"/>
      <c r="R8" s="28"/>
      <c r="S8" s="28"/>
      <c r="T8" s="192"/>
      <c r="U8" s="28"/>
      <c r="V8" s="290" t="s">
        <v>84</v>
      </c>
      <c r="W8" s="29"/>
      <c r="X8" s="29"/>
      <c r="Y8" s="30"/>
      <c r="Z8" s="30"/>
      <c r="AA8" s="31"/>
      <c r="AB8" s="31"/>
      <c r="AC8" s="31"/>
      <c r="AD8" s="31"/>
      <c r="AE8" s="31"/>
      <c r="AF8" s="31"/>
      <c r="AG8" s="31"/>
      <c r="AH8" s="31"/>
      <c r="AI8" s="31"/>
      <c r="AJ8" s="31"/>
      <c r="AK8" s="32"/>
      <c r="AL8" s="32"/>
      <c r="AM8" s="32"/>
      <c r="AN8" s="33"/>
      <c r="AO8" s="32"/>
      <c r="AP8" s="31"/>
      <c r="AQ8" s="31"/>
      <c r="AR8" s="31"/>
      <c r="AS8" s="31"/>
      <c r="AT8" s="31"/>
      <c r="AU8" s="31"/>
      <c r="AV8" s="31"/>
      <c r="AW8" s="31"/>
      <c r="AX8" s="31"/>
      <c r="AY8" s="31"/>
      <c r="AZ8" s="31"/>
      <c r="BA8" s="31"/>
      <c r="BB8" s="31"/>
      <c r="BC8" s="31"/>
      <c r="BD8" s="31"/>
      <c r="BE8" s="34"/>
      <c r="BF8" s="33"/>
      <c r="BG8" s="34"/>
      <c r="BH8" s="31"/>
      <c r="BI8" s="31"/>
      <c r="BJ8" s="31"/>
      <c r="BK8" s="31"/>
      <c r="BL8" s="31"/>
      <c r="BM8" s="31"/>
      <c r="BN8" s="31"/>
      <c r="BO8" s="31"/>
      <c r="BP8" s="31"/>
      <c r="BQ8" s="31"/>
      <c r="BR8" s="31"/>
      <c r="BS8" s="31"/>
      <c r="BT8" s="31"/>
      <c r="BU8" s="31"/>
      <c r="BV8" s="31"/>
      <c r="BW8" s="34"/>
      <c r="BX8" s="34"/>
      <c r="BY8" s="31"/>
      <c r="BZ8" s="34"/>
      <c r="CA8" s="34"/>
      <c r="CB8" s="34"/>
      <c r="CC8" s="34"/>
      <c r="CD8" s="34"/>
      <c r="CE8" s="34"/>
      <c r="CF8" s="34"/>
      <c r="CG8" s="22"/>
      <c r="CH8" s="22"/>
    </row>
    <row r="9" spans="1:114" s="35" customFormat="1" ht="15.75" customHeight="1" x14ac:dyDescent="0.55000000000000004">
      <c r="A9" s="36"/>
      <c r="B9" s="36"/>
      <c r="C9" s="344" t="s">
        <v>85</v>
      </c>
      <c r="D9" s="196"/>
      <c r="E9" s="36"/>
      <c r="F9" s="36"/>
      <c r="G9" s="36"/>
      <c r="H9" s="36"/>
      <c r="I9" s="330"/>
      <c r="J9" s="21"/>
      <c r="N9" s="193"/>
      <c r="T9" s="193"/>
      <c r="V9" s="291"/>
      <c r="Y9" s="38"/>
      <c r="Z9" s="38"/>
      <c r="AA9" s="39"/>
      <c r="AB9" s="39"/>
      <c r="AC9" s="39"/>
      <c r="AD9" s="39"/>
      <c r="AE9" s="39"/>
      <c r="AF9" s="39"/>
      <c r="AG9" s="39"/>
      <c r="AH9" s="39"/>
      <c r="AI9" s="39"/>
      <c r="AJ9" s="39"/>
      <c r="AK9" s="40"/>
      <c r="AL9" s="40"/>
      <c r="AM9" s="40"/>
      <c r="AN9" s="41"/>
      <c r="AO9" s="40"/>
      <c r="AP9" s="39"/>
      <c r="AQ9" s="39"/>
      <c r="AR9" s="39"/>
      <c r="AS9" s="39"/>
      <c r="AT9" s="39"/>
      <c r="AU9" s="39"/>
      <c r="AV9" s="39"/>
      <c r="AW9" s="39"/>
      <c r="AX9" s="39"/>
      <c r="AY9" s="39"/>
      <c r="AZ9" s="39"/>
      <c r="BA9" s="39"/>
      <c r="BB9" s="39"/>
      <c r="BC9" s="39"/>
      <c r="BD9" s="39"/>
      <c r="BE9" s="37"/>
      <c r="BF9" s="41"/>
      <c r="BG9" s="37"/>
      <c r="BH9" s="39"/>
      <c r="BI9" s="39"/>
      <c r="BJ9" s="39"/>
      <c r="BK9" s="39"/>
      <c r="BL9" s="39"/>
      <c r="BM9" s="39"/>
      <c r="BN9" s="39"/>
      <c r="BO9" s="39"/>
      <c r="BP9" s="39"/>
      <c r="BQ9" s="39"/>
      <c r="BR9" s="39"/>
      <c r="BS9" s="39"/>
      <c r="BT9" s="39"/>
      <c r="BU9" s="39"/>
      <c r="BV9" s="39"/>
      <c r="BW9" s="37"/>
      <c r="BX9" s="37"/>
      <c r="BY9" s="39"/>
      <c r="BZ9" s="37"/>
      <c r="CA9" s="37"/>
      <c r="CB9" s="37"/>
      <c r="CC9" s="37"/>
      <c r="CD9" s="37"/>
      <c r="CG9" s="37"/>
      <c r="CH9" s="37"/>
    </row>
    <row r="10" spans="1:114" ht="15.75" customHeight="1" thickBot="1" x14ac:dyDescent="0.6">
      <c r="W10" s="439" t="s">
        <v>48</v>
      </c>
      <c r="X10" s="439"/>
      <c r="Y10" s="440"/>
      <c r="AC10" s="45" t="s">
        <v>86</v>
      </c>
      <c r="AE10" s="39"/>
    </row>
    <row r="11" spans="1:114" ht="15.75" customHeight="1" x14ac:dyDescent="0.55000000000000004">
      <c r="A11" s="207"/>
      <c r="B11" s="223"/>
      <c r="C11" s="35"/>
      <c r="D11" s="232" t="s">
        <v>87</v>
      </c>
      <c r="E11" s="35" t="s">
        <v>55</v>
      </c>
      <c r="F11" s="35" t="s">
        <v>88</v>
      </c>
      <c r="G11" s="35" t="s">
        <v>89</v>
      </c>
      <c r="H11" s="35"/>
      <c r="I11" s="214"/>
      <c r="J11" s="223"/>
      <c r="K11" s="37"/>
      <c r="L11" s="37"/>
      <c r="M11" s="37"/>
      <c r="N11" s="232" t="s">
        <v>87</v>
      </c>
      <c r="O11" s="35" t="s">
        <v>55</v>
      </c>
      <c r="P11" s="35" t="s">
        <v>88</v>
      </c>
      <c r="Q11" s="35" t="s">
        <v>89</v>
      </c>
      <c r="R11" s="22"/>
      <c r="S11" s="22"/>
      <c r="U11" s="22"/>
      <c r="W11" s="46" t="s">
        <v>48</v>
      </c>
      <c r="X11" s="200" t="s">
        <v>90</v>
      </c>
      <c r="Y11" s="47" t="s">
        <v>25</v>
      </c>
      <c r="AC11" s="285" t="s">
        <v>52</v>
      </c>
      <c r="AD11" s="286" t="s">
        <v>278</v>
      </c>
      <c r="AE11" s="119" t="s">
        <v>279</v>
      </c>
      <c r="BQ11" s="39"/>
      <c r="BR11" s="39"/>
      <c r="BS11" s="39"/>
      <c r="BT11" s="39"/>
      <c r="BW11" s="37"/>
      <c r="BY11" s="39"/>
    </row>
    <row r="12" spans="1:114" ht="15.75" customHeight="1" thickBot="1" x14ac:dyDescent="0.6">
      <c r="A12" s="210" t="s">
        <v>91</v>
      </c>
      <c r="B12" s="225"/>
      <c r="C12" s="202"/>
      <c r="D12" s="203"/>
      <c r="E12" s="202"/>
      <c r="F12" s="202"/>
      <c r="G12" s="202"/>
      <c r="H12" s="202"/>
      <c r="I12" s="217" t="s">
        <v>91</v>
      </c>
      <c r="J12" s="225"/>
      <c r="K12" s="202"/>
      <c r="L12" s="202"/>
      <c r="M12" s="202"/>
      <c r="N12" s="203"/>
      <c r="O12" s="202"/>
      <c r="P12" s="202"/>
      <c r="Q12" s="202"/>
      <c r="R12" s="202"/>
      <c r="S12" s="202"/>
      <c r="T12" s="203"/>
      <c r="U12" s="202"/>
      <c r="W12" s="49">
        <f>AL49-BC49</f>
        <v>434.55684570609674</v>
      </c>
      <c r="X12" s="50">
        <f>AM49-BD49</f>
        <v>-301.58083065824758</v>
      </c>
      <c r="Y12" s="51">
        <f>X12/AM49</f>
        <v>0.11766233536034888</v>
      </c>
      <c r="AC12" s="287">
        <f>XIRR(BV18:BV47,V18:V47)</f>
        <v>1.1846449971199036E-2</v>
      </c>
      <c r="AD12" s="303">
        <f>XIRR(CF18:CF48,V18:V48)</f>
        <v>5.3644391894340532E-2</v>
      </c>
      <c r="AE12" s="313">
        <f>P87</f>
        <v>2.7833999999999998E-2</v>
      </c>
      <c r="BQ12" s="39"/>
      <c r="BR12" s="39"/>
      <c r="BS12" s="39"/>
      <c r="BT12" s="39"/>
      <c r="BW12" s="37"/>
      <c r="BY12" s="39"/>
      <c r="CC12" s="22" t="s">
        <v>280</v>
      </c>
    </row>
    <row r="13" spans="1:114" ht="15.75" customHeight="1" x14ac:dyDescent="0.25">
      <c r="AC13" s="119" t="s">
        <v>281</v>
      </c>
      <c r="CC13" s="298">
        <f>IF(MIN(CC18:CC47)&lt;-0.1, 1, 0)</f>
        <v>0</v>
      </c>
    </row>
    <row r="14" spans="1:114" ht="15.75" customHeight="1" x14ac:dyDescent="0.45">
      <c r="B14" s="223" t="s">
        <v>93</v>
      </c>
      <c r="D14" s="191" t="s">
        <v>102</v>
      </c>
      <c r="F14" s="149" t="s">
        <v>94</v>
      </c>
      <c r="J14" s="223" t="s">
        <v>93</v>
      </c>
      <c r="O14" s="21" t="s">
        <v>95</v>
      </c>
      <c r="P14" s="21" t="s">
        <v>96</v>
      </c>
      <c r="Q14" s="21" t="s">
        <v>94</v>
      </c>
      <c r="Y14" s="53" t="s">
        <v>55</v>
      </c>
      <c r="Z14" s="54"/>
      <c r="AA14" s="54"/>
      <c r="AB14" s="54"/>
      <c r="AC14" s="54"/>
      <c r="AD14" s="54"/>
      <c r="AE14" s="54"/>
      <c r="AF14" s="54"/>
      <c r="AG14" s="54"/>
      <c r="AH14" s="54"/>
      <c r="AI14" s="54"/>
      <c r="AJ14" s="55"/>
      <c r="AK14" s="56" t="s">
        <v>97</v>
      </c>
      <c r="AL14" s="57"/>
      <c r="AM14" s="58"/>
      <c r="AN14" s="39"/>
      <c r="AO14" s="59" t="s">
        <v>98</v>
      </c>
      <c r="AP14" s="60"/>
      <c r="AQ14" s="60"/>
      <c r="AR14" s="60"/>
      <c r="AS14" s="60"/>
      <c r="AT14" s="60"/>
      <c r="AU14" s="60"/>
      <c r="AV14" s="60"/>
      <c r="AW14" s="60"/>
      <c r="AX14" s="60"/>
      <c r="AY14" s="60"/>
      <c r="AZ14" s="60"/>
      <c r="BA14" s="60"/>
      <c r="BB14" s="60"/>
      <c r="BC14" s="61"/>
      <c r="BD14" s="61" t="s">
        <v>50</v>
      </c>
      <c r="BE14" s="24"/>
      <c r="BF14" s="22"/>
      <c r="BH14" s="62" t="s">
        <v>99</v>
      </c>
      <c r="BI14" s="63"/>
      <c r="BJ14" s="63"/>
      <c r="BK14" s="63"/>
      <c r="BL14" s="63"/>
      <c r="BM14" s="63"/>
      <c r="BN14" s="63"/>
      <c r="BO14" s="63"/>
      <c r="BP14" s="63"/>
      <c r="BQ14" s="63"/>
      <c r="BR14" s="63"/>
      <c r="BS14" s="63"/>
      <c r="BT14" s="63"/>
      <c r="BU14" s="63"/>
      <c r="BV14" s="64"/>
      <c r="BW14" s="45"/>
      <c r="BY14" s="236"/>
      <c r="BZ14" s="236"/>
      <c r="CA14" s="236"/>
      <c r="CB14" s="236"/>
      <c r="CC14" s="236"/>
      <c r="CD14" s="236"/>
      <c r="CE14" s="236"/>
      <c r="CF14" s="236"/>
    </row>
    <row r="15" spans="1:114" ht="15.75" customHeight="1" x14ac:dyDescent="0.45">
      <c r="B15" s="223" t="s">
        <v>101</v>
      </c>
      <c r="D15" s="191" t="s">
        <v>102</v>
      </c>
      <c r="F15" s="329" t="s">
        <v>282</v>
      </c>
      <c r="J15" s="223"/>
      <c r="Y15" s="53" t="s">
        <v>104</v>
      </c>
      <c r="Z15" s="54"/>
      <c r="AA15" s="54"/>
      <c r="AB15" s="54"/>
      <c r="AC15" s="66"/>
      <c r="AD15" s="53" t="s">
        <v>105</v>
      </c>
      <c r="AE15" s="54"/>
      <c r="AF15" s="54"/>
      <c r="AG15" s="54"/>
      <c r="AH15" s="54"/>
      <c r="AI15" s="67"/>
      <c r="AJ15" s="353" t="s">
        <v>50</v>
      </c>
      <c r="AK15" s="58"/>
      <c r="AL15" s="68"/>
      <c r="AM15" s="69" t="s">
        <v>50</v>
      </c>
      <c r="AN15" s="39"/>
      <c r="AO15" s="59" t="s">
        <v>104</v>
      </c>
      <c r="AP15" s="60"/>
      <c r="AQ15" s="60"/>
      <c r="AR15" s="60"/>
      <c r="AS15" s="70"/>
      <c r="AT15" s="60" t="s">
        <v>105</v>
      </c>
      <c r="AU15" s="60"/>
      <c r="AV15" s="60"/>
      <c r="AW15" s="60"/>
      <c r="AX15" s="60"/>
      <c r="AY15" s="60"/>
      <c r="AZ15" s="60"/>
      <c r="BA15" s="60"/>
      <c r="BB15" s="70"/>
      <c r="BC15" s="71" t="s">
        <v>50</v>
      </c>
      <c r="BD15" s="71" t="s">
        <v>106</v>
      </c>
      <c r="BE15" s="24"/>
      <c r="BF15" s="22"/>
      <c r="BH15" s="62" t="s">
        <v>104</v>
      </c>
      <c r="BI15" s="63"/>
      <c r="BJ15" s="63"/>
      <c r="BK15" s="63"/>
      <c r="BL15" s="63"/>
      <c r="BM15" s="63"/>
      <c r="BN15" s="72"/>
      <c r="BO15" s="62" t="s">
        <v>105</v>
      </c>
      <c r="BP15" s="63"/>
      <c r="BQ15" s="63"/>
      <c r="BR15" s="63"/>
      <c r="BS15" s="63"/>
      <c r="BT15" s="63"/>
      <c r="BU15" s="72"/>
      <c r="BV15" s="74"/>
      <c r="BW15" s="354" t="s">
        <v>107</v>
      </c>
      <c r="BY15" s="268"/>
      <c r="BZ15" s="237"/>
      <c r="CA15" s="237"/>
      <c r="CB15" s="237"/>
      <c r="CC15" s="236"/>
      <c r="CD15" s="236"/>
      <c r="CE15" s="236"/>
      <c r="CF15" s="236"/>
    </row>
    <row r="16" spans="1:114" ht="49.5" x14ac:dyDescent="0.45">
      <c r="B16" s="223"/>
      <c r="J16" s="223"/>
      <c r="V16" s="500" t="s">
        <v>108</v>
      </c>
      <c r="W16" s="501" t="s">
        <v>109</v>
      </c>
      <c r="X16" s="501" t="s">
        <v>13</v>
      </c>
      <c r="Y16" s="75" t="s">
        <v>110</v>
      </c>
      <c r="Z16" s="76" t="s">
        <v>111</v>
      </c>
      <c r="AA16" s="76" t="s">
        <v>112</v>
      </c>
      <c r="AB16" s="76" t="s">
        <v>113</v>
      </c>
      <c r="AC16" s="77" t="s">
        <v>114</v>
      </c>
      <c r="AD16" s="75" t="s">
        <v>115</v>
      </c>
      <c r="AE16" s="76" t="s">
        <v>116</v>
      </c>
      <c r="AF16" s="76" t="s">
        <v>117</v>
      </c>
      <c r="AG16" s="76" t="s">
        <v>118</v>
      </c>
      <c r="AH16" s="76" t="s">
        <v>119</v>
      </c>
      <c r="AI16" s="78" t="s">
        <v>120</v>
      </c>
      <c r="AJ16" s="79"/>
      <c r="AK16" s="356" t="s">
        <v>121</v>
      </c>
      <c r="AL16" s="78" t="s">
        <v>68</v>
      </c>
      <c r="AM16" s="80" t="s">
        <v>106</v>
      </c>
      <c r="AN16" s="39"/>
      <c r="AO16" s="81" t="s">
        <v>110</v>
      </c>
      <c r="AP16" s="82" t="s">
        <v>111</v>
      </c>
      <c r="AQ16" s="82" t="s">
        <v>112</v>
      </c>
      <c r="AR16" s="82" t="s">
        <v>122</v>
      </c>
      <c r="AS16" s="83" t="s">
        <v>114</v>
      </c>
      <c r="AT16" s="82" t="s">
        <v>123</v>
      </c>
      <c r="AU16" s="82" t="s">
        <v>124</v>
      </c>
      <c r="AV16" s="82" t="s">
        <v>125</v>
      </c>
      <c r="AW16" s="82" t="s">
        <v>126</v>
      </c>
      <c r="AX16" s="82" t="s">
        <v>127</v>
      </c>
      <c r="AY16" s="82" t="s">
        <v>128</v>
      </c>
      <c r="AZ16" s="82" t="s">
        <v>118</v>
      </c>
      <c r="BA16" s="82" t="s">
        <v>119</v>
      </c>
      <c r="BB16" s="83" t="s">
        <v>120</v>
      </c>
      <c r="BC16" s="84"/>
      <c r="BD16" s="83"/>
      <c r="BE16" s="24"/>
      <c r="BF16" s="85" t="s">
        <v>129</v>
      </c>
      <c r="BG16" s="24"/>
      <c r="BH16" s="86" t="s">
        <v>130</v>
      </c>
      <c r="BI16" s="87" t="s">
        <v>124</v>
      </c>
      <c r="BJ16" s="87" t="s">
        <v>125</v>
      </c>
      <c r="BK16" s="87" t="s">
        <v>126</v>
      </c>
      <c r="BL16" s="87" t="s">
        <v>128</v>
      </c>
      <c r="BM16" s="87" t="s">
        <v>113</v>
      </c>
      <c r="BN16" s="88" t="s">
        <v>114</v>
      </c>
      <c r="BO16" s="87" t="s">
        <v>131</v>
      </c>
      <c r="BP16" s="87" t="s">
        <v>132</v>
      </c>
      <c r="BQ16" s="87" t="s">
        <v>133</v>
      </c>
      <c r="BR16" s="87" t="s">
        <v>134</v>
      </c>
      <c r="BS16" s="87" t="s">
        <v>135</v>
      </c>
      <c r="BT16" s="87" t="s">
        <v>136</v>
      </c>
      <c r="BU16" s="87" t="s">
        <v>120</v>
      </c>
      <c r="BV16" s="89" t="s">
        <v>137</v>
      </c>
      <c r="BW16" s="90">
        <f>IF(SUM(BW18:BW47)=0,0,1)</f>
        <v>0</v>
      </c>
      <c r="BY16" s="272" t="s">
        <v>283</v>
      </c>
      <c r="BZ16" s="273" t="s">
        <v>284</v>
      </c>
      <c r="CA16" s="273" t="s">
        <v>285</v>
      </c>
      <c r="CB16" s="273" t="s">
        <v>286</v>
      </c>
      <c r="CC16" s="274" t="s">
        <v>287</v>
      </c>
      <c r="CD16" s="274" t="s">
        <v>288</v>
      </c>
      <c r="CE16" s="274" t="s">
        <v>289</v>
      </c>
      <c r="CF16" s="274" t="s">
        <v>290</v>
      </c>
      <c r="CH16" s="21"/>
    </row>
    <row r="17" spans="1:86" ht="15.75" customHeight="1" x14ac:dyDescent="0.55000000000000004">
      <c r="B17" s="223" t="s">
        <v>138</v>
      </c>
      <c r="D17" s="21"/>
      <c r="J17" s="223" t="s">
        <v>139</v>
      </c>
      <c r="N17" s="21"/>
      <c r="V17" s="293"/>
      <c r="W17" s="301">
        <v>0</v>
      </c>
      <c r="X17" s="302" t="s">
        <v>140</v>
      </c>
      <c r="Y17" s="93"/>
      <c r="Z17" s="94"/>
      <c r="AA17" s="94"/>
      <c r="AB17" s="94"/>
      <c r="AC17" s="94"/>
      <c r="AD17" s="94"/>
      <c r="AE17" s="94"/>
      <c r="AF17" s="94"/>
      <c r="AG17" s="94"/>
      <c r="AH17" s="94"/>
      <c r="AI17" s="94"/>
      <c r="AJ17" s="94"/>
      <c r="AK17" s="94"/>
      <c r="AL17" s="96">
        <f>-SUM(O144,SUM(O138:O140))</f>
        <v>-532.15300503547348</v>
      </c>
      <c r="AM17" s="97">
        <f>AL17*BF17</f>
        <v>-532.15300503547348</v>
      </c>
      <c r="AN17" s="98"/>
      <c r="AO17" s="99"/>
      <c r="AP17" s="94"/>
      <c r="AQ17" s="94"/>
      <c r="AR17" s="94"/>
      <c r="AS17" s="94"/>
      <c r="AT17" s="94"/>
      <c r="AU17" s="94"/>
      <c r="AV17" s="94"/>
      <c r="AW17" s="94"/>
      <c r="AX17" s="360"/>
      <c r="AY17" s="94"/>
      <c r="AZ17" s="94"/>
      <c r="BA17" s="94"/>
      <c r="BB17" s="94"/>
      <c r="BC17" s="94"/>
      <c r="BD17" s="100"/>
      <c r="BE17" s="26"/>
      <c r="BF17" s="180">
        <v>1</v>
      </c>
      <c r="BH17" s="101"/>
      <c r="BI17" s="102"/>
      <c r="BJ17" s="102"/>
      <c r="BK17" s="102"/>
      <c r="BL17" s="102"/>
      <c r="BM17" s="102"/>
      <c r="BN17" s="102"/>
      <c r="BO17" s="102"/>
      <c r="BP17" s="102"/>
      <c r="BQ17" s="102"/>
      <c r="BR17" s="102"/>
      <c r="BS17" s="102"/>
      <c r="BT17" s="102"/>
      <c r="BU17" s="102"/>
      <c r="BV17" s="102"/>
      <c r="BW17" s="104"/>
      <c r="BX17" s="98"/>
      <c r="BY17" s="102"/>
      <c r="BZ17" s="304"/>
      <c r="CA17" s="304"/>
      <c r="CB17" s="304"/>
      <c r="CC17" s="304"/>
      <c r="CD17" s="304"/>
      <c r="CE17" s="304"/>
      <c r="CF17" s="304"/>
      <c r="CH17" s="21"/>
    </row>
    <row r="18" spans="1:86" ht="15.75" customHeight="1" x14ac:dyDescent="0.45">
      <c r="C18" s="21" t="s">
        <v>15</v>
      </c>
      <c r="D18" s="191" t="s">
        <v>14</v>
      </c>
      <c r="F18" s="150">
        <v>3</v>
      </c>
      <c r="N18" s="191" t="s">
        <v>14</v>
      </c>
      <c r="O18" s="91">
        <f>SUM(F18:F19)</f>
        <v>23</v>
      </c>
      <c r="V18" s="294">
        <f>IF(W18=1,DATE(YEAR($F$20)+(MONTH($F$20)&gt;=4),4,0),EOMONTH(V17,12))</f>
        <v>46477</v>
      </c>
      <c r="W18" s="366">
        <f>W17+1</f>
        <v>1</v>
      </c>
      <c r="X18" s="366" t="str">
        <f>IF(W18&lt;=$F$18,$C$18,IF(W18&gt;SUM($F$18:$F$19),"-",$C$19))</f>
        <v>整備期間</v>
      </c>
      <c r="Y18" s="106">
        <f t="shared" ref="Y18:Y47" si="0">IF($W18=$F$18,$O$78,0)</f>
        <v>0</v>
      </c>
      <c r="Z18" s="107">
        <f t="shared" ref="Z18:Z47" si="1">IF($W18=$F$18,$O$80,0)</f>
        <v>0</v>
      </c>
      <c r="AA18" s="107">
        <f t="shared" ref="AA18:AA47" si="2">IF($W18=$F$18,$O$79,0)</f>
        <v>0</v>
      </c>
      <c r="AB18" s="107">
        <f t="shared" ref="AB18:AB47" si="3">IF($X18="維持管理・運営期間",$F$72,0)</f>
        <v>0</v>
      </c>
      <c r="AC18" s="108">
        <f>SUM(Y18:AB18)</f>
        <v>0</v>
      </c>
      <c r="AD18" s="106">
        <f t="shared" ref="AD18:AD36" si="4">IF($W18=$F$18,$O$33,0)</f>
        <v>0</v>
      </c>
      <c r="AE18" s="107">
        <f t="shared" ref="AE18:AE47" si="5">IF($X18="維持管理・運営期間",$O$46,0)</f>
        <v>0</v>
      </c>
      <c r="AF18" s="107">
        <f>IF($X18=$C$18, $E$52, 0)+IF($X18=$C$19, $E$53, 0)</f>
        <v>0</v>
      </c>
      <c r="AG18" s="368">
        <f>IF(AND($W18&gt;$O$83, SUM($AA$17:AA17)&gt;0,SUM($AG$17:AG17)&lt;$O$79),$O$82,0)</f>
        <v>0</v>
      </c>
      <c r="AH18" s="107">
        <f>IF(SUM($AA17:$AA$18)&gt;0,($O$79-SUM($AG17:$AG$18))*$F$83,0)</f>
        <v>0</v>
      </c>
      <c r="AI18" s="108">
        <f>SUM(AD18:AH18)</f>
        <v>0</v>
      </c>
      <c r="AJ18" s="107">
        <f t="shared" ref="AJ18:AJ23" si="6">AC18-AI18</f>
        <v>0</v>
      </c>
      <c r="AK18" s="115">
        <f>-MIN(0, AH18-BQ18)</f>
        <v>0</v>
      </c>
      <c r="AL18" s="109"/>
      <c r="AM18" s="108">
        <f t="shared" ref="AM18:AM36" si="7">AJ18*$BF18</f>
        <v>0</v>
      </c>
      <c r="AN18" s="110"/>
      <c r="AO18" s="106">
        <f t="shared" ref="AO18:AO47" si="8">IF($W18=$F$18,$P$78,0)</f>
        <v>0</v>
      </c>
      <c r="AP18" s="107">
        <f t="shared" ref="AP18:AP47" si="9">IF($W18=$F$18,$P$80,0)</f>
        <v>0</v>
      </c>
      <c r="AQ18" s="107">
        <f t="shared" ref="AQ18:AQ47" si="10">IF($W18=$F$18,$P$79,0)</f>
        <v>0</v>
      </c>
      <c r="AR18" s="107">
        <f t="shared" ref="AR18:AR47" si="11">IF($W18="-",0,IF($W18&lt;=$F$18,$P$131,IF($W18=$F$18+1,$P$132,$P$133)))</f>
        <v>0</v>
      </c>
      <c r="AS18" s="108">
        <f>SUM(AO18:AR18)</f>
        <v>0</v>
      </c>
      <c r="AT18" s="107">
        <f t="shared" ref="AT18:AT36" si="12">IF(W18=$F$18,$P$33,0)</f>
        <v>0</v>
      </c>
      <c r="AU18" s="107">
        <f t="shared" ref="AU18:AU47" si="13">IFERROR(-PPMT($P$40,W18-$F$18,$F$19,SUM(P$34,P$59)),0)</f>
        <v>0</v>
      </c>
      <c r="AV18" s="107">
        <f t="shared" ref="AV18:AV47" si="14">IFERROR(-IPMT($P$40,W18-$F$18,$F$19,SUM($P$34,$P$59)),0)</f>
        <v>0</v>
      </c>
      <c r="AW18" s="107">
        <f t="shared" ref="AW18:AW47" si="15">IF(AND(W18&gt;$F$18,W18&lt;=SUM($F$18:$F$19)),$P$48,0)</f>
        <v>0</v>
      </c>
      <c r="AX18" s="368">
        <f>IF($X18=$C$18, $F$52, 0)+IF($X18=$C$19, $F$53, 0)</f>
        <v>25</v>
      </c>
      <c r="AY18" s="107">
        <f t="shared" ref="AY18:AY47" si="16">IF(AND(W18&gt;$F$18,W18&lt;=SUM($F$18:$F$19)),$P$62,0)</f>
        <v>0</v>
      </c>
      <c r="AZ18" s="368">
        <f>IF(AND($W18&gt;$P$83, SUM($AQ$17:AQ17)&gt;0,SUM($AZ$17:AZ17)&lt;$P$79),$P$82,0)</f>
        <v>0</v>
      </c>
      <c r="BA18" s="107">
        <f>IF(SUM($AQ17:$AQ$18)&gt;0,($P$79-SUM($AZ17:$AZ$18))*$F$83,0)</f>
        <v>0</v>
      </c>
      <c r="BB18" s="108">
        <f>SUM(AT18:BA18)</f>
        <v>25</v>
      </c>
      <c r="BC18" s="107">
        <f>AS18-BB18</f>
        <v>-25</v>
      </c>
      <c r="BD18" s="108">
        <f t="shared" ref="BD18:BD36" si="17">BC18*$BF18</f>
        <v>-24.088630744415777</v>
      </c>
      <c r="BE18" s="111"/>
      <c r="BF18" s="180">
        <f>1/(1+$O$25)</f>
        <v>0.96354522977663104</v>
      </c>
      <c r="BH18" s="112">
        <f>AT18</f>
        <v>0</v>
      </c>
      <c r="BI18" s="112">
        <f>AU18</f>
        <v>0</v>
      </c>
      <c r="BJ18" s="113">
        <f>AV18</f>
        <v>0</v>
      </c>
      <c r="BK18" s="113">
        <f>AW18</f>
        <v>0</v>
      </c>
      <c r="BL18" s="113">
        <f>AY18</f>
        <v>0</v>
      </c>
      <c r="BM18" s="107">
        <f t="shared" ref="BM18:BM47" si="18">IF($X18="維持管理・運営期間",$F$72,0)</f>
        <v>0</v>
      </c>
      <c r="BN18" s="114">
        <f t="shared" ref="BN18:BN23" si="19">SUM(BH18:BM18)</f>
        <v>0</v>
      </c>
      <c r="BO18" s="113">
        <f t="shared" ref="BO18:BO36" si="20">IF($W18=$F$18,$P$35,0)</f>
        <v>0</v>
      </c>
      <c r="BP18" s="113">
        <f t="shared" ref="BP18:BP47" si="21">IF(AND(W18&gt;$F$18,W18&lt;=SUM($F$18:$F$19)),$P$46,0)</f>
        <v>0</v>
      </c>
      <c r="BQ18" s="113">
        <f t="shared" ref="BQ18:BQ47" si="22">IFERROR(-IPMT($P$87,W18-$F$18,$F$19,$P$34),0)</f>
        <v>0</v>
      </c>
      <c r="BR18" s="113">
        <f t="shared" ref="BR18:BR47" si="23">IF($W18&lt;=$O$18,$F$139,0)</f>
        <v>12</v>
      </c>
      <c r="BS18" s="113">
        <f t="shared" ref="BS18:BS47" si="24">IF($W18=1,$O$138,0)</f>
        <v>30</v>
      </c>
      <c r="BT18" s="107">
        <f>IF($X18="-",0,IF($W18&lt;=$F$18,$P$107,IF($W18=$F$18+1,$P$108,$P$109)))</f>
        <v>0.18</v>
      </c>
      <c r="BU18" s="114">
        <f>SUM(BO18:BT18)</f>
        <v>42.18</v>
      </c>
      <c r="BV18" s="114">
        <f t="shared" ref="BV18:BV24" si="25">BN18-BU18</f>
        <v>-42.18</v>
      </c>
      <c r="BW18" s="118">
        <f>IF(W18&lt;=$F$18,0,IF(BV18&gt;=CB18,0,1))</f>
        <v>0</v>
      </c>
      <c r="BX18" s="98"/>
      <c r="BY18" s="263" cm="1">
        <f t="array" ref="BY18">SUM(BJ18:BM18, -BP18:BT18,)</f>
        <v>-42.18</v>
      </c>
      <c r="BZ18" s="263">
        <f t="shared" ref="BZ18:BZ20" si="26">IF($W18=1, $F$90, 0)+IF($W18=$O$18, - $F$90, 0)</f>
        <v>66</v>
      </c>
      <c r="CA18" s="263">
        <f>IF($W18=$F$18, $P$34, 0)</f>
        <v>0</v>
      </c>
      <c r="CB18" s="263">
        <f>IFERROR(PPMT($P$87, $W18-$F$18, $F$19,$P$34), 0)</f>
        <v>0</v>
      </c>
      <c r="CC18" s="263">
        <f>SUM(CC17,  CE17, BY18:CB18)</f>
        <v>23.82</v>
      </c>
      <c r="CD18" s="263">
        <f t="shared" ref="CD18:CD47" si="27">SUM(CD17, BY18, CE17)</f>
        <v>-42.18</v>
      </c>
      <c r="CE18" s="263">
        <f>-IF($F$91=0, IF($W18&lt;&gt;$O$18,MAX(0,MIN(CC18,CD18)),CC18), IF($W18=$O$18, MAX(0, CC18), 0))</f>
        <v>0</v>
      </c>
      <c r="CF18" s="263">
        <f>-SUM(BZ18, CE18)</f>
        <v>-66</v>
      </c>
      <c r="CH18" s="21"/>
    </row>
    <row r="19" spans="1:86" ht="15.75" customHeight="1" x14ac:dyDescent="0.45">
      <c r="C19" s="21" t="s">
        <v>141</v>
      </c>
      <c r="D19" s="191" t="s">
        <v>14</v>
      </c>
      <c r="F19" s="150">
        <v>20</v>
      </c>
      <c r="J19" s="120"/>
      <c r="V19" s="294">
        <f t="shared" ref="V19:V23" si="28">IF(W19=1,DATE(YEAR($F$20)+(MONTH($F$20)&gt;=4),4,0),EOMONTH(V18,12))</f>
        <v>46843</v>
      </c>
      <c r="W19" s="366">
        <f t="shared" ref="W19:W47" si="29">W18+1</f>
        <v>2</v>
      </c>
      <c r="X19" s="366" t="str">
        <f t="shared" ref="X19:X47" si="30">IF(W19&lt;=$F$18,$C$18,IF(W19&gt;SUM($F$18:$F$19),"-",$C$19))</f>
        <v>整備期間</v>
      </c>
      <c r="Y19" s="106">
        <f t="shared" si="0"/>
        <v>0</v>
      </c>
      <c r="Z19" s="107">
        <f t="shared" si="1"/>
        <v>0</v>
      </c>
      <c r="AA19" s="107">
        <f t="shared" si="2"/>
        <v>0</v>
      </c>
      <c r="AB19" s="107">
        <f t="shared" si="3"/>
        <v>0</v>
      </c>
      <c r="AC19" s="108">
        <f t="shared" ref="AC19:AC23" si="31">SUM(Y19:AB19)</f>
        <v>0</v>
      </c>
      <c r="AD19" s="106">
        <f t="shared" si="4"/>
        <v>0</v>
      </c>
      <c r="AE19" s="107">
        <f t="shared" si="5"/>
        <v>0</v>
      </c>
      <c r="AF19" s="107">
        <f t="shared" ref="AF19:AF47" si="32">IF($X19=$C$18, $E$52, 0)+IF($X19=$C$19, $E$53, 0)</f>
        <v>0</v>
      </c>
      <c r="AG19" s="368">
        <f>IF(AND($W19&gt;$O$83, SUM($AA$17:AA18)&gt;0,SUM($AG$17:AG18)&lt;$O$79),$O$82,0)</f>
        <v>0</v>
      </c>
      <c r="AH19" s="107">
        <f>IF(SUM($AA18:$AA$18)&gt;0,($O$79-SUM($AG18:$AG$18))*$F$83,0)</f>
        <v>0</v>
      </c>
      <c r="AI19" s="108">
        <f t="shared" ref="AI19:AI23" si="33">SUM(AD19:AH19)</f>
        <v>0</v>
      </c>
      <c r="AJ19" s="113">
        <f t="shared" si="6"/>
        <v>0</v>
      </c>
      <c r="AK19" s="115">
        <f t="shared" ref="AK19:AK47" si="34">-MIN(0, AH19-BQ19)</f>
        <v>0</v>
      </c>
      <c r="AL19" s="109"/>
      <c r="AM19" s="114">
        <f t="shared" si="7"/>
        <v>0</v>
      </c>
      <c r="AN19" s="110"/>
      <c r="AO19" s="112">
        <f t="shared" si="8"/>
        <v>0</v>
      </c>
      <c r="AP19" s="113">
        <f t="shared" si="9"/>
        <v>0</v>
      </c>
      <c r="AQ19" s="113">
        <f t="shared" si="10"/>
        <v>0</v>
      </c>
      <c r="AR19" s="107">
        <f t="shared" si="11"/>
        <v>0</v>
      </c>
      <c r="AS19" s="108">
        <f t="shared" ref="AS19:AS23" si="35">SUM(AO19:AR19)</f>
        <v>0</v>
      </c>
      <c r="AT19" s="107">
        <f t="shared" si="12"/>
        <v>0</v>
      </c>
      <c r="AU19" s="107">
        <f t="shared" si="13"/>
        <v>0</v>
      </c>
      <c r="AV19" s="107">
        <f t="shared" si="14"/>
        <v>0</v>
      </c>
      <c r="AW19" s="107">
        <f t="shared" si="15"/>
        <v>0</v>
      </c>
      <c r="AX19" s="368">
        <f t="shared" ref="AX19:AX47" si="36">IF($X19=$C$18, $F$52, 0)+IF($X19=$C$19, $F$53, 0)</f>
        <v>25</v>
      </c>
      <c r="AY19" s="107">
        <f t="shared" si="16"/>
        <v>0</v>
      </c>
      <c r="AZ19" s="368">
        <f>IF(AND($W19&gt;$P$83, SUM($AQ$17:AQ18)&gt;0,SUM($AZ$17:AZ18)&lt;$P$79),$P$82,0)</f>
        <v>0</v>
      </c>
      <c r="BA19" s="107">
        <f>IF(SUM($AQ18:$AQ$18)&gt;0,($P$79-SUM($AZ18:$AZ$18))*$F$83,0)</f>
        <v>0</v>
      </c>
      <c r="BB19" s="108">
        <f t="shared" ref="BB19:BB23" si="37">SUM(AT19:BA19)</f>
        <v>25</v>
      </c>
      <c r="BC19" s="113">
        <f t="shared" ref="BC19:BC23" si="38">AS19-BB19</f>
        <v>-25</v>
      </c>
      <c r="BD19" s="114">
        <f t="shared" si="17"/>
        <v>-23.210485245632519</v>
      </c>
      <c r="BE19" s="111"/>
      <c r="BF19" s="180">
        <f t="shared" ref="BF19:BF36" si="39">BF18/(1+$O$25)</f>
        <v>0.92841940982530069</v>
      </c>
      <c r="BH19" s="112">
        <f t="shared" ref="BH19:BH23" si="40">AT19</f>
        <v>0</v>
      </c>
      <c r="BI19" s="112">
        <f t="shared" ref="BI19:BI23" si="41">AU19</f>
        <v>0</v>
      </c>
      <c r="BJ19" s="113">
        <f t="shared" ref="BJ19:BJ23" si="42">AV19</f>
        <v>0</v>
      </c>
      <c r="BK19" s="113">
        <f t="shared" ref="BK19:BK23" si="43">AW19</f>
        <v>0</v>
      </c>
      <c r="BL19" s="113">
        <f t="shared" ref="BL19:BL23" si="44">AY19</f>
        <v>0</v>
      </c>
      <c r="BM19" s="107">
        <f t="shared" si="18"/>
        <v>0</v>
      </c>
      <c r="BN19" s="114">
        <f t="shared" si="19"/>
        <v>0</v>
      </c>
      <c r="BO19" s="113">
        <f t="shared" si="20"/>
        <v>0</v>
      </c>
      <c r="BP19" s="113">
        <f t="shared" si="21"/>
        <v>0</v>
      </c>
      <c r="BQ19" s="113">
        <f t="shared" si="22"/>
        <v>0</v>
      </c>
      <c r="BR19" s="113">
        <f t="shared" si="23"/>
        <v>12</v>
      </c>
      <c r="BS19" s="113">
        <f t="shared" si="24"/>
        <v>0</v>
      </c>
      <c r="BT19" s="107">
        <f t="shared" ref="BT19:BT47" si="45">IF($X19="-",0,IF($W19&lt;=$F$18,$P$107,IF($W19=$F$18+1,$P$108,$P$109)))</f>
        <v>0.18</v>
      </c>
      <c r="BU19" s="114">
        <f t="shared" ref="BU19:BU23" si="46">SUM(BO19:BT19)</f>
        <v>12.18</v>
      </c>
      <c r="BV19" s="114">
        <f t="shared" si="25"/>
        <v>-12.18</v>
      </c>
      <c r="BW19" s="118">
        <f t="shared" ref="BW19:BW47" si="47">IF(W19&lt;=$F$18,0,IF(BV19&gt;=CB19,0,1))</f>
        <v>0</v>
      </c>
      <c r="BX19" s="98"/>
      <c r="BY19" s="263" cm="1">
        <f t="array" ref="BY19">SUM(BJ19:BM19, -BP19:BT19,)</f>
        <v>-12.18</v>
      </c>
      <c r="BZ19" s="263">
        <f t="shared" si="26"/>
        <v>0</v>
      </c>
      <c r="CA19" s="263">
        <f t="shared" ref="CA19:CA47" si="48">IF($W19=$F$18, $P$34, 0)</f>
        <v>0</v>
      </c>
      <c r="CB19" s="263">
        <f t="shared" ref="CB19:CB47" si="49">IFERROR(PPMT($P$87, $W19-$F$18, $F$19,$P$34), 0)</f>
        <v>0</v>
      </c>
      <c r="CC19" s="263">
        <f t="shared" ref="CC19:CC47" si="50">SUM(CC18,  CE18, BY19:CB19)</f>
        <v>11.64</v>
      </c>
      <c r="CD19" s="263">
        <f t="shared" si="27"/>
        <v>-54.36</v>
      </c>
      <c r="CE19" s="263">
        <f t="shared" ref="CE19:CE47" si="51">-IF($F$91=0, IF($W19&lt;&gt;$O$18,MAX(0,MIN(CC19,CD19)),CC19), IF($W19=$O$18, MAX(0, CC19), 0))</f>
        <v>0</v>
      </c>
      <c r="CF19" s="263">
        <f t="shared" ref="CF19:CF47" si="52">-SUM(BZ19, CE19)</f>
        <v>0</v>
      </c>
      <c r="CH19" s="21"/>
    </row>
    <row r="20" spans="1:86" ht="15.75" customHeight="1" x14ac:dyDescent="0.45">
      <c r="C20" s="21" t="s">
        <v>142</v>
      </c>
      <c r="D20" s="191" t="s">
        <v>143</v>
      </c>
      <c r="F20" s="151">
        <v>46113</v>
      </c>
      <c r="J20" s="120"/>
      <c r="V20" s="294">
        <f t="shared" si="28"/>
        <v>47208</v>
      </c>
      <c r="W20" s="366">
        <f t="shared" si="29"/>
        <v>3</v>
      </c>
      <c r="X20" s="366" t="str">
        <f t="shared" si="30"/>
        <v>整備期間</v>
      </c>
      <c r="Y20" s="106">
        <f t="shared" si="0"/>
        <v>1140</v>
      </c>
      <c r="Z20" s="107">
        <f t="shared" si="1"/>
        <v>0</v>
      </c>
      <c r="AA20" s="107">
        <f>IF($W20=$F$18,$O$79,0)</f>
        <v>1282.5</v>
      </c>
      <c r="AB20" s="107">
        <f t="shared" si="3"/>
        <v>0</v>
      </c>
      <c r="AC20" s="108">
        <f t="shared" si="31"/>
        <v>2422.5</v>
      </c>
      <c r="AD20" s="106">
        <f t="shared" si="4"/>
        <v>2850</v>
      </c>
      <c r="AE20" s="107">
        <f t="shared" si="5"/>
        <v>0</v>
      </c>
      <c r="AF20" s="107">
        <f t="shared" si="32"/>
        <v>0</v>
      </c>
      <c r="AG20" s="368">
        <f>IF(AND($W20&gt;$O$83, SUM($AA$17:AA19)&gt;0,SUM($AG$17:AG19)&lt;$O$79),$O$82,0)</f>
        <v>0</v>
      </c>
      <c r="AH20" s="107">
        <f>IF(SUM($AA$18:$AA19)&gt;0,($O$79-SUM($AG$18:$AG19))*$F$83,0)</f>
        <v>0</v>
      </c>
      <c r="AI20" s="108">
        <f t="shared" si="33"/>
        <v>2850</v>
      </c>
      <c r="AJ20" s="113">
        <f t="shared" si="6"/>
        <v>-427.5</v>
      </c>
      <c r="AK20" s="115">
        <f t="shared" si="34"/>
        <v>0</v>
      </c>
      <c r="AL20" s="277"/>
      <c r="AM20" s="264">
        <f t="shared" si="7"/>
        <v>-382.43042500083448</v>
      </c>
      <c r="AN20" s="278"/>
      <c r="AO20" s="266">
        <f t="shared" si="8"/>
        <v>1140</v>
      </c>
      <c r="AP20" s="263">
        <f t="shared" si="9"/>
        <v>0</v>
      </c>
      <c r="AQ20" s="263">
        <f t="shared" si="10"/>
        <v>1282.5</v>
      </c>
      <c r="AR20" s="260">
        <f t="shared" si="11"/>
        <v>0</v>
      </c>
      <c r="AS20" s="261">
        <f t="shared" si="35"/>
        <v>2422.5</v>
      </c>
      <c r="AT20" s="260">
        <f t="shared" si="12"/>
        <v>1425</v>
      </c>
      <c r="AU20" s="260">
        <f t="shared" si="13"/>
        <v>0</v>
      </c>
      <c r="AV20" s="260">
        <f t="shared" si="14"/>
        <v>0</v>
      </c>
      <c r="AW20" s="260">
        <f t="shared" si="15"/>
        <v>0</v>
      </c>
      <c r="AX20" s="368">
        <f t="shared" si="36"/>
        <v>25</v>
      </c>
      <c r="AY20" s="260">
        <f t="shared" si="16"/>
        <v>0</v>
      </c>
      <c r="AZ20" s="368">
        <f>IF(AND($W20&gt;$P$83, SUM($AQ$17:AQ19)&gt;0,SUM($AZ$17:AZ19)&lt;$P$79),$P$82,0)</f>
        <v>0</v>
      </c>
      <c r="BA20" s="107">
        <f>IF(SUM($AQ$18:$AQ19)&gt;0,($P$79-SUM($AZ$18:$AZ19))*$F$83,0)</f>
        <v>0</v>
      </c>
      <c r="BB20" s="261">
        <f t="shared" si="37"/>
        <v>1450</v>
      </c>
      <c r="BC20" s="263">
        <f t="shared" si="38"/>
        <v>972.5</v>
      </c>
      <c r="BD20" s="264">
        <f t="shared" si="17"/>
        <v>869.97330599605039</v>
      </c>
      <c r="BE20" s="279"/>
      <c r="BF20" s="180">
        <f t="shared" si="39"/>
        <v>0.89457409356920348</v>
      </c>
      <c r="BH20" s="266">
        <f t="shared" si="40"/>
        <v>1425</v>
      </c>
      <c r="BI20" s="266">
        <f t="shared" si="41"/>
        <v>0</v>
      </c>
      <c r="BJ20" s="263">
        <f t="shared" si="42"/>
        <v>0</v>
      </c>
      <c r="BK20" s="263">
        <f t="shared" si="43"/>
        <v>0</v>
      </c>
      <c r="BL20" s="263">
        <f t="shared" si="44"/>
        <v>0</v>
      </c>
      <c r="BM20" s="260">
        <f t="shared" si="18"/>
        <v>0</v>
      </c>
      <c r="BN20" s="264">
        <f t="shared" si="19"/>
        <v>1425</v>
      </c>
      <c r="BO20" s="263">
        <f t="shared" si="20"/>
        <v>2850</v>
      </c>
      <c r="BP20" s="263">
        <f t="shared" si="21"/>
        <v>0</v>
      </c>
      <c r="BQ20" s="263">
        <f t="shared" si="22"/>
        <v>0</v>
      </c>
      <c r="BR20" s="263">
        <f t="shared" si="23"/>
        <v>12</v>
      </c>
      <c r="BS20" s="263">
        <f t="shared" si="24"/>
        <v>0</v>
      </c>
      <c r="BT20" s="107">
        <f t="shared" si="45"/>
        <v>0.18</v>
      </c>
      <c r="BU20" s="264">
        <f t="shared" si="46"/>
        <v>2862.18</v>
      </c>
      <c r="BV20" s="264">
        <f t="shared" si="25"/>
        <v>-1437.1799999999998</v>
      </c>
      <c r="BW20" s="118">
        <f t="shared" si="47"/>
        <v>0</v>
      </c>
      <c r="BX20" s="265"/>
      <c r="BY20" s="263" cm="1">
        <f t="array" ref="BY20">SUM(BJ20:BM20, -BP20:BT20,)</f>
        <v>-12.18</v>
      </c>
      <c r="BZ20" s="263">
        <f t="shared" si="26"/>
        <v>0</v>
      </c>
      <c r="CA20" s="263">
        <f t="shared" si="48"/>
        <v>1425</v>
      </c>
      <c r="CB20" s="263">
        <f t="shared" si="49"/>
        <v>0</v>
      </c>
      <c r="CC20" s="263">
        <f t="shared" si="50"/>
        <v>1424.46</v>
      </c>
      <c r="CD20" s="263">
        <f t="shared" si="27"/>
        <v>-66.539999999999992</v>
      </c>
      <c r="CE20" s="263">
        <f t="shared" si="51"/>
        <v>0</v>
      </c>
      <c r="CF20" s="263">
        <f t="shared" si="52"/>
        <v>0</v>
      </c>
      <c r="CH20" s="21"/>
    </row>
    <row r="21" spans="1:86" s="116" customFormat="1" x14ac:dyDescent="0.45">
      <c r="C21" s="116" t="s">
        <v>144</v>
      </c>
      <c r="D21" s="191" t="s">
        <v>143</v>
      </c>
      <c r="E21" s="21"/>
      <c r="F21" s="152">
        <f>EOMONTH(F20,12*F18-1)</f>
        <v>47208</v>
      </c>
      <c r="I21" s="331"/>
      <c r="J21" s="187"/>
      <c r="N21" s="191"/>
      <c r="O21" s="21"/>
      <c r="P21" s="21"/>
      <c r="T21" s="191"/>
      <c r="V21" s="294">
        <f t="shared" si="28"/>
        <v>47573</v>
      </c>
      <c r="W21" s="366">
        <f t="shared" si="29"/>
        <v>4</v>
      </c>
      <c r="X21" s="366" t="str">
        <f t="shared" si="30"/>
        <v>維持管理・運営期間</v>
      </c>
      <c r="Y21" s="106">
        <f t="shared" si="0"/>
        <v>0</v>
      </c>
      <c r="Z21" s="107">
        <f t="shared" si="1"/>
        <v>0</v>
      </c>
      <c r="AA21" s="107">
        <f t="shared" si="2"/>
        <v>0</v>
      </c>
      <c r="AB21" s="107">
        <f t="shared" si="3"/>
        <v>0</v>
      </c>
      <c r="AC21" s="108">
        <f t="shared" si="31"/>
        <v>0</v>
      </c>
      <c r="AD21" s="106">
        <f t="shared" si="4"/>
        <v>0</v>
      </c>
      <c r="AE21" s="107">
        <f t="shared" si="5"/>
        <v>47.5</v>
      </c>
      <c r="AF21" s="107">
        <f t="shared" si="32"/>
        <v>10</v>
      </c>
      <c r="AG21" s="368">
        <f>IF(AND($W21&gt;$O$83, SUM($AA$17:AA20)&gt;0,SUM($AG$17:AG20)&lt;$O$79),$O$82,0)</f>
        <v>0</v>
      </c>
      <c r="AH21" s="107">
        <f>IF(SUM($AA$18:$AA20)&gt;0,($O$79-SUM($AG$18:$AG20))*$F$83,0)</f>
        <v>25.008749999999999</v>
      </c>
      <c r="AI21" s="108">
        <f>SUM(AD21:AH21)</f>
        <v>82.508749999999992</v>
      </c>
      <c r="AJ21" s="113">
        <f t="shared" si="6"/>
        <v>-82.508749999999992</v>
      </c>
      <c r="AK21" s="115">
        <f t="shared" si="34"/>
        <v>14.654699999999998</v>
      </c>
      <c r="AL21" s="277"/>
      <c r="AM21" s="264">
        <f t="shared" si="7"/>
        <v>-71.119456717334387</v>
      </c>
      <c r="AN21" s="278"/>
      <c r="AO21" s="266">
        <f t="shared" si="8"/>
        <v>0</v>
      </c>
      <c r="AP21" s="263">
        <f t="shared" si="9"/>
        <v>0</v>
      </c>
      <c r="AQ21" s="263">
        <f t="shared" si="10"/>
        <v>0</v>
      </c>
      <c r="AR21" s="260">
        <f t="shared" si="11"/>
        <v>0</v>
      </c>
      <c r="AS21" s="261">
        <f t="shared" si="35"/>
        <v>0</v>
      </c>
      <c r="AT21" s="260">
        <f t="shared" si="12"/>
        <v>0</v>
      </c>
      <c r="AU21" s="260">
        <f t="shared" si="13"/>
        <v>51.224568177078517</v>
      </c>
      <c r="AV21" s="260">
        <f>IFERROR(-IPMT($P$40,W21-$F$18,$F$19,SUM($P$34,$P$59)),0)</f>
        <v>56.430924359999999</v>
      </c>
      <c r="AW21" s="260">
        <f t="shared" si="15"/>
        <v>47.5</v>
      </c>
      <c r="AX21" s="368">
        <f t="shared" si="36"/>
        <v>6</v>
      </c>
      <c r="AY21" s="260">
        <f t="shared" si="16"/>
        <v>12.18</v>
      </c>
      <c r="AZ21" s="368">
        <f>IF(AND($W21&gt;$P$83, SUM($AQ$17:AQ20)&gt;0,SUM($AZ$17:AZ20)&lt;$P$79),$P$82,0)</f>
        <v>0</v>
      </c>
      <c r="BA21" s="107">
        <f>IF(SUM($AQ$18:$AQ20)&gt;0,($P$79-SUM($AZ$18:$AZ20))*$F$83,0)</f>
        <v>25.008749999999999</v>
      </c>
      <c r="BB21" s="261">
        <f t="shared" si="37"/>
        <v>198.34424253707851</v>
      </c>
      <c r="BC21" s="263">
        <f t="shared" si="38"/>
        <v>-198.34424253707851</v>
      </c>
      <c r="BD21" s="264">
        <f t="shared" si="17"/>
        <v>-170.96531909946799</v>
      </c>
      <c r="BE21" s="279"/>
      <c r="BF21" s="180">
        <f t="shared" si="39"/>
        <v>0.86196260054035956</v>
      </c>
      <c r="BG21" s="22"/>
      <c r="BH21" s="266">
        <f t="shared" si="40"/>
        <v>0</v>
      </c>
      <c r="BI21" s="266">
        <f t="shared" si="41"/>
        <v>51.224568177078517</v>
      </c>
      <c r="BJ21" s="263">
        <f t="shared" si="42"/>
        <v>56.430924359999999</v>
      </c>
      <c r="BK21" s="263">
        <f t="shared" si="43"/>
        <v>47.5</v>
      </c>
      <c r="BL21" s="263">
        <f t="shared" si="44"/>
        <v>12.18</v>
      </c>
      <c r="BM21" s="260">
        <f t="shared" si="18"/>
        <v>0</v>
      </c>
      <c r="BN21" s="264">
        <f t="shared" si="19"/>
        <v>167.33549253707852</v>
      </c>
      <c r="BO21" s="263">
        <f t="shared" si="20"/>
        <v>0</v>
      </c>
      <c r="BP21" s="263">
        <f t="shared" si="21"/>
        <v>47.5</v>
      </c>
      <c r="BQ21" s="263">
        <f t="shared" si="22"/>
        <v>39.663449999999997</v>
      </c>
      <c r="BR21" s="263">
        <f t="shared" si="23"/>
        <v>12</v>
      </c>
      <c r="BS21" s="263">
        <f t="shared" si="24"/>
        <v>0</v>
      </c>
      <c r="BT21" s="107">
        <f t="shared" si="45"/>
        <v>0.18</v>
      </c>
      <c r="BU21" s="264">
        <f t="shared" si="46"/>
        <v>99.343450000000004</v>
      </c>
      <c r="BV21" s="264">
        <f t="shared" si="25"/>
        <v>67.992042537078518</v>
      </c>
      <c r="BW21" s="118">
        <f t="shared" si="47"/>
        <v>0</v>
      </c>
      <c r="BX21" s="265"/>
      <c r="BY21" s="263" cm="1">
        <f t="array" ref="BY21">SUM(BJ21:BM21, -BP21:BT21,)</f>
        <v>16.767474360000016</v>
      </c>
      <c r="BZ21" s="263">
        <f>IF($W21=1, $F$90, 0)+IF($W21=$O$18, - $F$90, 0)</f>
        <v>0</v>
      </c>
      <c r="CA21" s="263">
        <f t="shared" si="48"/>
        <v>0</v>
      </c>
      <c r="CB21" s="263">
        <f t="shared" si="49"/>
        <v>-54.211115915696041</v>
      </c>
      <c r="CC21" s="263">
        <f t="shared" si="50"/>
        <v>1387.0163584443039</v>
      </c>
      <c r="CD21" s="263">
        <f t="shared" si="27"/>
        <v>-49.772525639999976</v>
      </c>
      <c r="CE21" s="263">
        <f t="shared" si="51"/>
        <v>0</v>
      </c>
      <c r="CF21" s="263">
        <f t="shared" si="52"/>
        <v>0</v>
      </c>
      <c r="CG21" s="117"/>
    </row>
    <row r="22" spans="1:86" ht="15.75" customHeight="1" x14ac:dyDescent="0.45">
      <c r="C22" s="21" t="s">
        <v>145</v>
      </c>
      <c r="D22" s="191" t="s">
        <v>143</v>
      </c>
      <c r="F22" s="152">
        <f>F21+1</f>
        <v>47209</v>
      </c>
      <c r="V22" s="294">
        <f t="shared" si="28"/>
        <v>47938</v>
      </c>
      <c r="W22" s="366">
        <f t="shared" si="29"/>
        <v>5</v>
      </c>
      <c r="X22" s="366" t="str">
        <f t="shared" si="30"/>
        <v>維持管理・運営期間</v>
      </c>
      <c r="Y22" s="106">
        <f t="shared" si="0"/>
        <v>0</v>
      </c>
      <c r="Z22" s="107">
        <f t="shared" si="1"/>
        <v>0</v>
      </c>
      <c r="AA22" s="107">
        <f t="shared" si="2"/>
        <v>0</v>
      </c>
      <c r="AB22" s="107">
        <f t="shared" si="3"/>
        <v>0</v>
      </c>
      <c r="AC22" s="108">
        <f t="shared" si="31"/>
        <v>0</v>
      </c>
      <c r="AD22" s="106">
        <f t="shared" si="4"/>
        <v>0</v>
      </c>
      <c r="AE22" s="107">
        <f t="shared" si="5"/>
        <v>47.5</v>
      </c>
      <c r="AF22" s="107">
        <f t="shared" si="32"/>
        <v>10</v>
      </c>
      <c r="AG22" s="368">
        <f>IF(AND($W22&gt;$O$83, SUM($AA$17:AA21)&gt;0,SUM($AG$17:AG21)&lt;$O$79),$O$82,0)</f>
        <v>0</v>
      </c>
      <c r="AH22" s="107">
        <f>IF(SUM($AA$18:$AA21)&gt;0,($O$79-SUM($AG$18:$AG21))*$F$83,0)</f>
        <v>25.008749999999999</v>
      </c>
      <c r="AI22" s="108">
        <f t="shared" si="33"/>
        <v>82.508749999999992</v>
      </c>
      <c r="AJ22" s="113">
        <f t="shared" si="6"/>
        <v>-82.508749999999992</v>
      </c>
      <c r="AK22" s="115">
        <f t="shared" si="34"/>
        <v>13.145787799602516</v>
      </c>
      <c r="AL22" s="277"/>
      <c r="AM22" s="264">
        <f t="shared" si="7"/>
        <v>-68.526813264293125</v>
      </c>
      <c r="AN22" s="278"/>
      <c r="AO22" s="266">
        <f t="shared" si="8"/>
        <v>0</v>
      </c>
      <c r="AP22" s="263">
        <f t="shared" si="9"/>
        <v>0</v>
      </c>
      <c r="AQ22" s="263">
        <f t="shared" si="10"/>
        <v>0</v>
      </c>
      <c r="AR22" s="260">
        <f t="shared" si="11"/>
        <v>0</v>
      </c>
      <c r="AS22" s="261">
        <f t="shared" si="35"/>
        <v>0</v>
      </c>
      <c r="AT22" s="260">
        <f t="shared" si="12"/>
        <v>0</v>
      </c>
      <c r="AU22" s="260">
        <f t="shared" si="13"/>
        <v>53.162598489490094</v>
      </c>
      <c r="AV22" s="260">
        <f t="shared" si="14"/>
        <v>54.4928940475884</v>
      </c>
      <c r="AW22" s="260">
        <f t="shared" si="15"/>
        <v>47.5</v>
      </c>
      <c r="AX22" s="368">
        <f t="shared" si="36"/>
        <v>6</v>
      </c>
      <c r="AY22" s="260">
        <f t="shared" si="16"/>
        <v>12.18</v>
      </c>
      <c r="AZ22" s="368">
        <f>IF(AND($W22&gt;$P$83, SUM($AQ$17:AQ21)&gt;0,SUM($AZ$17:AZ21)&lt;$P$79),$P$82,0)</f>
        <v>0</v>
      </c>
      <c r="BA22" s="107">
        <f>IF(SUM($AQ$18:$AQ21)&gt;0,($P$79-SUM($AZ$18:$AZ21))*$F$83,0)</f>
        <v>25.008749999999999</v>
      </c>
      <c r="BB22" s="261">
        <f t="shared" si="37"/>
        <v>198.34424253707849</v>
      </c>
      <c r="BC22" s="263">
        <f t="shared" si="38"/>
        <v>-198.34424253707849</v>
      </c>
      <c r="BD22" s="264">
        <f t="shared" si="17"/>
        <v>-164.73281767553192</v>
      </c>
      <c r="BE22" s="279"/>
      <c r="BF22" s="180">
        <f t="shared" si="39"/>
        <v>0.8305399519965232</v>
      </c>
      <c r="BH22" s="266">
        <f t="shared" si="40"/>
        <v>0</v>
      </c>
      <c r="BI22" s="266">
        <f t="shared" si="41"/>
        <v>53.162598489490094</v>
      </c>
      <c r="BJ22" s="263">
        <f t="shared" si="42"/>
        <v>54.4928940475884</v>
      </c>
      <c r="BK22" s="263">
        <f t="shared" si="43"/>
        <v>47.5</v>
      </c>
      <c r="BL22" s="263">
        <f t="shared" si="44"/>
        <v>12.18</v>
      </c>
      <c r="BM22" s="260">
        <f t="shared" si="18"/>
        <v>0</v>
      </c>
      <c r="BN22" s="264">
        <f t="shared" si="19"/>
        <v>167.33549253707849</v>
      </c>
      <c r="BO22" s="263">
        <f t="shared" si="20"/>
        <v>0</v>
      </c>
      <c r="BP22" s="263">
        <f t="shared" si="21"/>
        <v>47.5</v>
      </c>
      <c r="BQ22" s="263">
        <f t="shared" si="22"/>
        <v>38.154537799602515</v>
      </c>
      <c r="BR22" s="263">
        <f t="shared" si="23"/>
        <v>12</v>
      </c>
      <c r="BS22" s="263">
        <f t="shared" si="24"/>
        <v>0</v>
      </c>
      <c r="BT22" s="107">
        <f t="shared" si="45"/>
        <v>0.18</v>
      </c>
      <c r="BU22" s="264">
        <f t="shared" si="46"/>
        <v>97.834537799602515</v>
      </c>
      <c r="BV22" s="264">
        <f t="shared" si="25"/>
        <v>69.500954737475979</v>
      </c>
      <c r="BW22" s="118">
        <f t="shared" si="47"/>
        <v>0</v>
      </c>
      <c r="BX22" s="265"/>
      <c r="BY22" s="263" cm="1">
        <f t="array" ref="BY22">SUM(BJ22:BM22, -BP22:BT22,)</f>
        <v>16.338356247985899</v>
      </c>
      <c r="BZ22" s="263">
        <f t="shared" ref="BZ22:BZ47" si="53">IF($W22=1, $F$90, 0)+IF($W22=$O$18, - $F$90, 0)</f>
        <v>0</v>
      </c>
      <c r="CA22" s="263">
        <f t="shared" si="48"/>
        <v>0</v>
      </c>
      <c r="CB22" s="263">
        <f t="shared" si="49"/>
        <v>-55.720028116093523</v>
      </c>
      <c r="CC22" s="263">
        <f t="shared" si="50"/>
        <v>1347.6346865761964</v>
      </c>
      <c r="CD22" s="263">
        <f t="shared" si="27"/>
        <v>-33.434169392014077</v>
      </c>
      <c r="CE22" s="263">
        <f t="shared" si="51"/>
        <v>0</v>
      </c>
      <c r="CF22" s="263">
        <f t="shared" si="52"/>
        <v>0</v>
      </c>
      <c r="CH22" s="21"/>
    </row>
    <row r="23" spans="1:86" ht="15.75" customHeight="1" x14ac:dyDescent="0.45">
      <c r="C23" s="21" t="s">
        <v>146</v>
      </c>
      <c r="D23" s="191" t="s">
        <v>143</v>
      </c>
      <c r="F23" s="152">
        <f>EOMONTH(F22,12*F19-1)</f>
        <v>54513</v>
      </c>
      <c r="V23" s="294">
        <f t="shared" si="28"/>
        <v>48304</v>
      </c>
      <c r="W23" s="366">
        <f t="shared" si="29"/>
        <v>6</v>
      </c>
      <c r="X23" s="366" t="str">
        <f t="shared" si="30"/>
        <v>維持管理・運営期間</v>
      </c>
      <c r="Y23" s="106">
        <f t="shared" si="0"/>
        <v>0</v>
      </c>
      <c r="Z23" s="107">
        <f t="shared" si="1"/>
        <v>0</v>
      </c>
      <c r="AA23" s="107">
        <f t="shared" si="2"/>
        <v>0</v>
      </c>
      <c r="AB23" s="107">
        <f t="shared" si="3"/>
        <v>0</v>
      </c>
      <c r="AC23" s="108">
        <f t="shared" si="31"/>
        <v>0</v>
      </c>
      <c r="AD23" s="106">
        <f t="shared" si="4"/>
        <v>0</v>
      </c>
      <c r="AE23" s="107">
        <f t="shared" si="5"/>
        <v>47.5</v>
      </c>
      <c r="AF23" s="107">
        <f t="shared" si="32"/>
        <v>10</v>
      </c>
      <c r="AG23" s="368">
        <f>IF(AND($W23&gt;$O$83, SUM($AA$17:AA22)&gt;0,SUM($AG$17:AG22)&lt;$O$79),$O$82,0)</f>
        <v>0</v>
      </c>
      <c r="AH23" s="107">
        <f>IF(SUM($AA$18:$AA22)&gt;0,($O$79-SUM($AG$18:$AG22))*$F$83,0)</f>
        <v>25.008749999999999</v>
      </c>
      <c r="AI23" s="108">
        <f t="shared" si="33"/>
        <v>82.508749999999992</v>
      </c>
      <c r="AJ23" s="113">
        <f t="shared" si="6"/>
        <v>-82.508749999999992</v>
      </c>
      <c r="AK23" s="115">
        <f t="shared" si="34"/>
        <v>11.594876537019161</v>
      </c>
      <c r="AL23" s="277"/>
      <c r="AM23" s="264">
        <f t="shared" si="7"/>
        <v>-66.028684032603607</v>
      </c>
      <c r="AN23" s="278"/>
      <c r="AO23" s="266">
        <f t="shared" si="8"/>
        <v>0</v>
      </c>
      <c r="AP23" s="263">
        <f t="shared" si="9"/>
        <v>0</v>
      </c>
      <c r="AQ23" s="263">
        <f t="shared" si="10"/>
        <v>0</v>
      </c>
      <c r="AR23" s="260">
        <f t="shared" si="11"/>
        <v>0</v>
      </c>
      <c r="AS23" s="261">
        <f t="shared" si="35"/>
        <v>0</v>
      </c>
      <c r="AT23" s="260">
        <f t="shared" si="12"/>
        <v>0</v>
      </c>
      <c r="AU23" s="260">
        <f t="shared" si="13"/>
        <v>55.173952240741471</v>
      </c>
      <c r="AV23" s="260">
        <f t="shared" si="14"/>
        <v>52.481540296337052</v>
      </c>
      <c r="AW23" s="260">
        <f t="shared" si="15"/>
        <v>47.5</v>
      </c>
      <c r="AX23" s="368">
        <f t="shared" si="36"/>
        <v>6</v>
      </c>
      <c r="AY23" s="260">
        <f t="shared" si="16"/>
        <v>12.18</v>
      </c>
      <c r="AZ23" s="368">
        <f>IF(AND($W23&gt;$P$83, SUM($AQ$17:AQ22)&gt;0,SUM($AZ$17:AZ22)&lt;$P$79),$P$82,0)</f>
        <v>0</v>
      </c>
      <c r="BA23" s="107">
        <f>IF(SUM($AQ$18:$AQ22)&gt;0,($P$79-SUM($AZ$18:$AZ22))*$F$83,0)</f>
        <v>25.008749999999999</v>
      </c>
      <c r="BB23" s="261">
        <f t="shared" si="37"/>
        <v>198.34424253707851</v>
      </c>
      <c r="BC23" s="263">
        <f t="shared" si="38"/>
        <v>-198.34424253707851</v>
      </c>
      <c r="BD23" s="264">
        <f t="shared" si="17"/>
        <v>-158.72752065892229</v>
      </c>
      <c r="BE23" s="279"/>
      <c r="BF23" s="180">
        <f t="shared" si="39"/>
        <v>0.80026280888516199</v>
      </c>
      <c r="BH23" s="266">
        <f t="shared" si="40"/>
        <v>0</v>
      </c>
      <c r="BI23" s="266">
        <f t="shared" si="41"/>
        <v>55.173952240741471</v>
      </c>
      <c r="BJ23" s="263">
        <f t="shared" si="42"/>
        <v>52.481540296337052</v>
      </c>
      <c r="BK23" s="263">
        <f t="shared" si="43"/>
        <v>47.5</v>
      </c>
      <c r="BL23" s="263">
        <f t="shared" si="44"/>
        <v>12.18</v>
      </c>
      <c r="BM23" s="260">
        <f t="shared" si="18"/>
        <v>0</v>
      </c>
      <c r="BN23" s="264">
        <f t="shared" si="19"/>
        <v>167.33549253707852</v>
      </c>
      <c r="BO23" s="263">
        <f t="shared" si="20"/>
        <v>0</v>
      </c>
      <c r="BP23" s="263">
        <f t="shared" si="21"/>
        <v>47.5</v>
      </c>
      <c r="BQ23" s="263">
        <f t="shared" si="22"/>
        <v>36.60362653701916</v>
      </c>
      <c r="BR23" s="263">
        <f t="shared" si="23"/>
        <v>12</v>
      </c>
      <c r="BS23" s="263">
        <f t="shared" si="24"/>
        <v>0</v>
      </c>
      <c r="BT23" s="107">
        <f t="shared" si="45"/>
        <v>0.18</v>
      </c>
      <c r="BU23" s="264">
        <f t="shared" si="46"/>
        <v>96.28362653701916</v>
      </c>
      <c r="BV23" s="264">
        <f t="shared" si="25"/>
        <v>71.051866000059363</v>
      </c>
      <c r="BW23" s="118">
        <f t="shared" si="47"/>
        <v>0</v>
      </c>
      <c r="BX23" s="265"/>
      <c r="BY23" s="263" cm="1">
        <f t="array" ref="BY23">SUM(BJ23:BM23, -BP23:BT23,)</f>
        <v>15.877913759317892</v>
      </c>
      <c r="BZ23" s="263">
        <f t="shared" si="53"/>
        <v>0</v>
      </c>
      <c r="CA23" s="263">
        <f t="shared" si="48"/>
        <v>0</v>
      </c>
      <c r="CB23" s="263">
        <f t="shared" si="49"/>
        <v>-57.270939378676864</v>
      </c>
      <c r="CC23" s="263">
        <f t="shared" si="50"/>
        <v>1306.2416609568374</v>
      </c>
      <c r="CD23" s="263">
        <f t="shared" si="27"/>
        <v>-17.556255632696185</v>
      </c>
      <c r="CE23" s="263">
        <f t="shared" si="51"/>
        <v>0</v>
      </c>
      <c r="CF23" s="263">
        <f t="shared" si="52"/>
        <v>0</v>
      </c>
      <c r="CH23" s="21"/>
    </row>
    <row r="24" spans="1:86" ht="15.75" customHeight="1" x14ac:dyDescent="0.3">
      <c r="I24" s="332"/>
      <c r="N24" s="21"/>
      <c r="V24" s="294">
        <f t="shared" ref="V24:V36" si="54">IF(W24=1,DATE(YEAR($F$20)+(MONTH($F$20)&gt;=4),4,0),EOMONTH(V23,12))</f>
        <v>48669</v>
      </c>
      <c r="W24" s="366">
        <f t="shared" si="29"/>
        <v>7</v>
      </c>
      <c r="X24" s="366" t="str">
        <f t="shared" si="30"/>
        <v>維持管理・運営期間</v>
      </c>
      <c r="Y24" s="106">
        <f t="shared" si="0"/>
        <v>0</v>
      </c>
      <c r="Z24" s="107">
        <f t="shared" si="1"/>
        <v>0</v>
      </c>
      <c r="AA24" s="107">
        <f t="shared" si="2"/>
        <v>0</v>
      </c>
      <c r="AB24" s="107">
        <f t="shared" si="3"/>
        <v>0</v>
      </c>
      <c r="AC24" s="108">
        <f t="shared" ref="AC24:AC36" si="55">SUM(Y24:AB24)</f>
        <v>0</v>
      </c>
      <c r="AD24" s="106">
        <f t="shared" si="4"/>
        <v>0</v>
      </c>
      <c r="AE24" s="107">
        <f t="shared" si="5"/>
        <v>47.5</v>
      </c>
      <c r="AF24" s="107">
        <f t="shared" si="32"/>
        <v>10</v>
      </c>
      <c r="AG24" s="368">
        <f>IF(AND($W24&gt;$O$83, SUM($AA$17:AA23)&gt;0,SUM($AG$17:AG23)&lt;$O$79),$O$82,0)</f>
        <v>64.125</v>
      </c>
      <c r="AH24" s="107">
        <f>IF(SUM($AA$18:$AA23)&gt;0,($O$79-SUM($AG$18:$AG23))*$F$83,0)</f>
        <v>25.008749999999999</v>
      </c>
      <c r="AI24" s="108">
        <f t="shared" ref="AI24:AI36" si="56">SUM(AD24:AH24)</f>
        <v>146.63374999999999</v>
      </c>
      <c r="AJ24" s="113">
        <f t="shared" ref="AJ24:AJ36" si="57">AC24-AI24</f>
        <v>-146.63374999999999</v>
      </c>
      <c r="AK24" s="115">
        <f t="shared" si="34"/>
        <v>10.000797210353078</v>
      </c>
      <c r="AL24" s="277"/>
      <c r="AM24" s="264">
        <f t="shared" si="7"/>
        <v>-113.06773207696473</v>
      </c>
      <c r="AN24" s="278"/>
      <c r="AO24" s="266">
        <f t="shared" si="8"/>
        <v>0</v>
      </c>
      <c r="AP24" s="263">
        <f t="shared" si="9"/>
        <v>0</v>
      </c>
      <c r="AQ24" s="263">
        <f t="shared" si="10"/>
        <v>0</v>
      </c>
      <c r="AR24" s="260">
        <f t="shared" si="11"/>
        <v>0</v>
      </c>
      <c r="AS24" s="261">
        <f t="shared" ref="AS24:AS36" si="58">SUM(AO24:AR24)</f>
        <v>0</v>
      </c>
      <c r="AT24" s="260">
        <f t="shared" si="12"/>
        <v>0</v>
      </c>
      <c r="AU24" s="260">
        <f t="shared" si="13"/>
        <v>57.261403549817679</v>
      </c>
      <c r="AV24" s="260">
        <f t="shared" si="14"/>
        <v>50.394088987260822</v>
      </c>
      <c r="AW24" s="260">
        <f t="shared" si="15"/>
        <v>47.5</v>
      </c>
      <c r="AX24" s="368">
        <f t="shared" si="36"/>
        <v>6</v>
      </c>
      <c r="AY24" s="260">
        <f t="shared" si="16"/>
        <v>12.18</v>
      </c>
      <c r="AZ24" s="368">
        <f>IF(AND($W24&gt;$P$83, SUM($AQ$17:AQ23)&gt;0,SUM($AZ$17:AZ23)&lt;$P$79),$P$82,0)</f>
        <v>64.125</v>
      </c>
      <c r="BA24" s="107">
        <f>IF(SUM($AQ$18:$AQ23)&gt;0,($P$79-SUM($AZ$18:$AZ23))*$F$83,0)</f>
        <v>25.008749999999999</v>
      </c>
      <c r="BB24" s="261">
        <f t="shared" ref="BB24:BB36" si="59">SUM(AT24:BA24)</f>
        <v>262.46924253707851</v>
      </c>
      <c r="BC24" s="263">
        <f t="shared" ref="BC24:BC36" si="60">AS24-BB24</f>
        <v>-262.46924253707851</v>
      </c>
      <c r="BD24" s="264">
        <f t="shared" si="17"/>
        <v>-202.38725391409736</v>
      </c>
      <c r="BE24" s="279"/>
      <c r="BF24" s="180">
        <f t="shared" si="39"/>
        <v>0.77108941206894555</v>
      </c>
      <c r="BH24" s="266">
        <f t="shared" ref="BH24:BH36" si="61">AT24</f>
        <v>0</v>
      </c>
      <c r="BI24" s="266">
        <f t="shared" ref="BI24:BI36" si="62">AU24</f>
        <v>57.261403549817679</v>
      </c>
      <c r="BJ24" s="263">
        <f t="shared" ref="BJ24:BJ36" si="63">AV24</f>
        <v>50.394088987260822</v>
      </c>
      <c r="BK24" s="263">
        <f t="shared" ref="BK24:BK36" si="64">AW24</f>
        <v>47.5</v>
      </c>
      <c r="BL24" s="263">
        <f t="shared" ref="BL24:BL36" si="65">AY24</f>
        <v>12.18</v>
      </c>
      <c r="BM24" s="260">
        <f t="shared" si="18"/>
        <v>0</v>
      </c>
      <c r="BN24" s="264">
        <f t="shared" ref="BN24:BN36" si="66">SUM(BH24:BM24)</f>
        <v>167.33549253707849</v>
      </c>
      <c r="BO24" s="263">
        <f t="shared" si="20"/>
        <v>0</v>
      </c>
      <c r="BP24" s="263">
        <f t="shared" si="21"/>
        <v>47.5</v>
      </c>
      <c r="BQ24" s="263">
        <f t="shared" si="22"/>
        <v>35.009547210353077</v>
      </c>
      <c r="BR24" s="263">
        <f t="shared" si="23"/>
        <v>12</v>
      </c>
      <c r="BS24" s="263">
        <f t="shared" si="24"/>
        <v>0</v>
      </c>
      <c r="BT24" s="107">
        <f t="shared" si="45"/>
        <v>0.18</v>
      </c>
      <c r="BU24" s="264">
        <f t="shared" ref="BU24:BU36" si="67">SUM(BO24:BT24)</f>
        <v>94.689547210353084</v>
      </c>
      <c r="BV24" s="264">
        <f t="shared" si="25"/>
        <v>72.64594532672541</v>
      </c>
      <c r="BW24" s="118">
        <f t="shared" si="47"/>
        <v>0</v>
      </c>
      <c r="BX24" s="265"/>
      <c r="BY24" s="263" cm="1">
        <f t="array" ref="BY24">SUM(BJ24:BM24, -BP24:BT24,)</f>
        <v>15.38454177690776</v>
      </c>
      <c r="BZ24" s="263">
        <f t="shared" si="53"/>
        <v>0</v>
      </c>
      <c r="CA24" s="263">
        <f t="shared" si="48"/>
        <v>0</v>
      </c>
      <c r="CB24" s="263">
        <f t="shared" si="49"/>
        <v>-58.865018705342962</v>
      </c>
      <c r="CC24" s="263">
        <f t="shared" si="50"/>
        <v>1262.7611840284023</v>
      </c>
      <c r="CD24" s="263">
        <f t="shared" si="27"/>
        <v>-2.1717138557884255</v>
      </c>
      <c r="CE24" s="263">
        <f t="shared" si="51"/>
        <v>0</v>
      </c>
      <c r="CF24" s="263">
        <f t="shared" si="52"/>
        <v>0</v>
      </c>
      <c r="CH24" s="21"/>
    </row>
    <row r="25" spans="1:86" ht="15.75" customHeight="1" x14ac:dyDescent="0.3">
      <c r="B25" s="226" t="s">
        <v>147</v>
      </c>
      <c r="I25" s="214"/>
      <c r="J25" s="223" t="s">
        <v>148</v>
      </c>
      <c r="N25" s="191" t="s">
        <v>25</v>
      </c>
      <c r="O25" s="121">
        <f>SUM(F26:F27)</f>
        <v>3.7833999999999993E-2</v>
      </c>
      <c r="V25" s="294">
        <f t="shared" si="54"/>
        <v>49034</v>
      </c>
      <c r="W25" s="366">
        <f t="shared" si="29"/>
        <v>8</v>
      </c>
      <c r="X25" s="366" t="str">
        <f t="shared" si="30"/>
        <v>維持管理・運営期間</v>
      </c>
      <c r="Y25" s="106">
        <f t="shared" si="0"/>
        <v>0</v>
      </c>
      <c r="Z25" s="107">
        <f t="shared" si="1"/>
        <v>0</v>
      </c>
      <c r="AA25" s="107">
        <f t="shared" si="2"/>
        <v>0</v>
      </c>
      <c r="AB25" s="107">
        <f t="shared" si="3"/>
        <v>0</v>
      </c>
      <c r="AC25" s="108">
        <f t="shared" si="55"/>
        <v>0</v>
      </c>
      <c r="AD25" s="106">
        <f t="shared" si="4"/>
        <v>0</v>
      </c>
      <c r="AE25" s="107">
        <f t="shared" si="5"/>
        <v>47.5</v>
      </c>
      <c r="AF25" s="107">
        <f t="shared" si="32"/>
        <v>10</v>
      </c>
      <c r="AG25" s="368">
        <f>IF(AND($W25&gt;$O$83, SUM($AA$17:AA24)&gt;0,SUM($AG$17:AG24)&lt;$O$79),$O$82,0)</f>
        <v>64.125</v>
      </c>
      <c r="AH25" s="107">
        <f>IF(SUM($AA$18:$AA24)&gt;0,($O$79-SUM($AG$18:$AG24))*$F$83,0)</f>
        <v>23.758312499999999</v>
      </c>
      <c r="AI25" s="108">
        <f t="shared" si="56"/>
        <v>145.38331249999999</v>
      </c>
      <c r="AJ25" s="113">
        <f t="shared" si="57"/>
        <v>-145.38331249999999</v>
      </c>
      <c r="AK25" s="115">
        <f t="shared" si="34"/>
        <v>9.6127857797085561</v>
      </c>
      <c r="AL25" s="277"/>
      <c r="AM25" s="264">
        <f t="shared" si="7"/>
        <v>-108.0168244249666</v>
      </c>
      <c r="AN25" s="278"/>
      <c r="AO25" s="266">
        <f t="shared" si="8"/>
        <v>0</v>
      </c>
      <c r="AP25" s="263">
        <f t="shared" si="9"/>
        <v>0</v>
      </c>
      <c r="AQ25" s="263">
        <f t="shared" si="10"/>
        <v>0</v>
      </c>
      <c r="AR25" s="260">
        <f t="shared" si="11"/>
        <v>0</v>
      </c>
      <c r="AS25" s="261">
        <f t="shared" si="58"/>
        <v>0</v>
      </c>
      <c r="AT25" s="260">
        <f t="shared" si="12"/>
        <v>0</v>
      </c>
      <c r="AU25" s="260">
        <f t="shared" si="13"/>
        <v>59.427831491721484</v>
      </c>
      <c r="AV25" s="260">
        <f t="shared" si="14"/>
        <v>48.227661045357031</v>
      </c>
      <c r="AW25" s="260">
        <f t="shared" si="15"/>
        <v>47.5</v>
      </c>
      <c r="AX25" s="368">
        <f t="shared" si="36"/>
        <v>6</v>
      </c>
      <c r="AY25" s="260">
        <f t="shared" si="16"/>
        <v>12.18</v>
      </c>
      <c r="AZ25" s="368">
        <f>IF(AND($W25&gt;$P$83, SUM($AQ$17:AQ24)&gt;0,SUM($AZ$17:AZ24)&lt;$P$79),$P$82,0)</f>
        <v>64.125</v>
      </c>
      <c r="BA25" s="107">
        <f>IF(SUM($AQ$18:$AQ24)&gt;0,($P$79-SUM($AZ$18:$AZ24))*$F$83,0)</f>
        <v>23.758312499999999</v>
      </c>
      <c r="BB25" s="261">
        <f t="shared" si="59"/>
        <v>261.21880503707854</v>
      </c>
      <c r="BC25" s="263">
        <f t="shared" si="60"/>
        <v>-261.21880503707854</v>
      </c>
      <c r="BD25" s="264">
        <f t="shared" si="17"/>
        <v>-194.08022361706537</v>
      </c>
      <c r="BE25" s="279"/>
      <c r="BF25" s="180">
        <f t="shared" si="39"/>
        <v>0.74297952473029949</v>
      </c>
      <c r="BH25" s="266">
        <f t="shared" si="61"/>
        <v>0</v>
      </c>
      <c r="BI25" s="266">
        <f t="shared" si="62"/>
        <v>59.427831491721484</v>
      </c>
      <c r="BJ25" s="263">
        <f t="shared" si="63"/>
        <v>48.227661045357031</v>
      </c>
      <c r="BK25" s="263">
        <f t="shared" si="64"/>
        <v>47.5</v>
      </c>
      <c r="BL25" s="263">
        <f t="shared" si="65"/>
        <v>12.18</v>
      </c>
      <c r="BM25" s="260">
        <f t="shared" si="18"/>
        <v>0</v>
      </c>
      <c r="BN25" s="264">
        <f t="shared" si="66"/>
        <v>167.33549253707852</v>
      </c>
      <c r="BO25" s="263">
        <f t="shared" si="20"/>
        <v>0</v>
      </c>
      <c r="BP25" s="263">
        <f t="shared" si="21"/>
        <v>47.5</v>
      </c>
      <c r="BQ25" s="263">
        <f t="shared" si="22"/>
        <v>33.371098279708555</v>
      </c>
      <c r="BR25" s="263">
        <f t="shared" si="23"/>
        <v>12</v>
      </c>
      <c r="BS25" s="263">
        <f t="shared" si="24"/>
        <v>0</v>
      </c>
      <c r="BT25" s="107">
        <f t="shared" si="45"/>
        <v>0.18</v>
      </c>
      <c r="BU25" s="264">
        <f t="shared" si="67"/>
        <v>93.051098279708555</v>
      </c>
      <c r="BV25" s="264">
        <f t="shared" ref="BV25:BV36" si="68">BN25-BU25</f>
        <v>74.284394257369968</v>
      </c>
      <c r="BW25" s="118">
        <f t="shared" si="47"/>
        <v>0</v>
      </c>
      <c r="BX25" s="265"/>
      <c r="BY25" s="263" cm="1">
        <f t="array" ref="BY25">SUM(BJ25:BM25, -BP25:BT25,)</f>
        <v>14.856562765648476</v>
      </c>
      <c r="BZ25" s="263">
        <f t="shared" si="53"/>
        <v>0</v>
      </c>
      <c r="CA25" s="263">
        <f t="shared" si="48"/>
        <v>0</v>
      </c>
      <c r="CB25" s="263">
        <f t="shared" si="49"/>
        <v>-60.503467635987469</v>
      </c>
      <c r="CC25" s="263">
        <f t="shared" si="50"/>
        <v>1217.1142791580635</v>
      </c>
      <c r="CD25" s="263">
        <f t="shared" si="27"/>
        <v>12.684848909860051</v>
      </c>
      <c r="CE25" s="263">
        <f t="shared" si="51"/>
        <v>0</v>
      </c>
      <c r="CF25" s="263">
        <f t="shared" si="52"/>
        <v>0</v>
      </c>
      <c r="CH25" s="21"/>
    </row>
    <row r="26" spans="1:86" ht="15.75" customHeight="1" x14ac:dyDescent="0.45">
      <c r="B26" s="119"/>
      <c r="C26" s="21" t="s">
        <v>149</v>
      </c>
      <c r="D26" s="191" t="s">
        <v>25</v>
      </c>
      <c r="F26" s="153">
        <v>1.7833999999999999E-2</v>
      </c>
      <c r="V26" s="294">
        <f t="shared" si="54"/>
        <v>49399</v>
      </c>
      <c r="W26" s="366">
        <f t="shared" si="29"/>
        <v>9</v>
      </c>
      <c r="X26" s="366" t="str">
        <f t="shared" si="30"/>
        <v>維持管理・運営期間</v>
      </c>
      <c r="Y26" s="106">
        <f t="shared" si="0"/>
        <v>0</v>
      </c>
      <c r="Z26" s="107">
        <f t="shared" si="1"/>
        <v>0</v>
      </c>
      <c r="AA26" s="107">
        <f t="shared" si="2"/>
        <v>0</v>
      </c>
      <c r="AB26" s="107">
        <f t="shared" si="3"/>
        <v>0</v>
      </c>
      <c r="AC26" s="108">
        <f t="shared" si="55"/>
        <v>0</v>
      </c>
      <c r="AD26" s="106">
        <f t="shared" si="4"/>
        <v>0</v>
      </c>
      <c r="AE26" s="107">
        <f t="shared" si="5"/>
        <v>47.5</v>
      </c>
      <c r="AF26" s="107">
        <f t="shared" si="32"/>
        <v>10</v>
      </c>
      <c r="AG26" s="368">
        <f>IF(AND($W26&gt;$O$83, SUM($AA$17:AA25)&gt;0,SUM($AG$17:AG25)&lt;$O$79),$O$82,0)</f>
        <v>64.125</v>
      </c>
      <c r="AH26" s="107">
        <f>IF(SUM($AA$18:$AA25)&gt;0,($O$79-SUM($AG$18:$AG25))*$F$83,0)</f>
        <v>22.507874999999999</v>
      </c>
      <c r="AI26" s="108">
        <f t="shared" si="56"/>
        <v>144.13287500000001</v>
      </c>
      <c r="AJ26" s="113">
        <f t="shared" si="57"/>
        <v>-144.13287500000001</v>
      </c>
      <c r="AK26" s="115">
        <f t="shared" si="34"/>
        <v>9.1791697615284811</v>
      </c>
      <c r="AL26" s="277"/>
      <c r="AM26" s="264">
        <f t="shared" si="7"/>
        <v>-103.1839147354121</v>
      </c>
      <c r="AN26" s="278"/>
      <c r="AO26" s="266">
        <f t="shared" si="8"/>
        <v>0</v>
      </c>
      <c r="AP26" s="263">
        <f t="shared" si="9"/>
        <v>0</v>
      </c>
      <c r="AQ26" s="263">
        <f t="shared" si="10"/>
        <v>0</v>
      </c>
      <c r="AR26" s="260">
        <f t="shared" si="11"/>
        <v>0</v>
      </c>
      <c r="AS26" s="261">
        <f t="shared" si="58"/>
        <v>0</v>
      </c>
      <c r="AT26" s="260">
        <f t="shared" si="12"/>
        <v>0</v>
      </c>
      <c r="AU26" s="260">
        <f t="shared" si="13"/>
        <v>61.676224068379263</v>
      </c>
      <c r="AV26" s="260">
        <f t="shared" si="14"/>
        <v>45.979268468699225</v>
      </c>
      <c r="AW26" s="260">
        <f t="shared" si="15"/>
        <v>47.5</v>
      </c>
      <c r="AX26" s="368">
        <f t="shared" si="36"/>
        <v>6</v>
      </c>
      <c r="AY26" s="260">
        <f t="shared" si="16"/>
        <v>12.18</v>
      </c>
      <c r="AZ26" s="368">
        <f>IF(AND($W26&gt;$P$83, SUM($AQ$17:AQ25)&gt;0,SUM($AZ$17:AZ25)&lt;$P$79),$P$82,0)</f>
        <v>64.125</v>
      </c>
      <c r="BA26" s="107">
        <f>IF(SUM($AQ$18:$AQ25)&gt;0,($P$79-SUM($AZ$18:$AZ25))*$F$83,0)</f>
        <v>22.507874999999999</v>
      </c>
      <c r="BB26" s="261">
        <f t="shared" si="59"/>
        <v>259.96836753707851</v>
      </c>
      <c r="BC26" s="263">
        <f t="shared" si="60"/>
        <v>-259.96836753707851</v>
      </c>
      <c r="BD26" s="264">
        <f t="shared" si="17"/>
        <v>-186.10989248532081</v>
      </c>
      <c r="BE26" s="279"/>
      <c r="BF26" s="180">
        <f t="shared" si="39"/>
        <v>0.71589437687558855</v>
      </c>
      <c r="BH26" s="266">
        <f t="shared" si="61"/>
        <v>0</v>
      </c>
      <c r="BI26" s="266">
        <f t="shared" si="62"/>
        <v>61.676224068379263</v>
      </c>
      <c r="BJ26" s="263">
        <f t="shared" si="63"/>
        <v>45.979268468699225</v>
      </c>
      <c r="BK26" s="263">
        <f t="shared" si="64"/>
        <v>47.5</v>
      </c>
      <c r="BL26" s="263">
        <f t="shared" si="65"/>
        <v>12.18</v>
      </c>
      <c r="BM26" s="260">
        <f t="shared" si="18"/>
        <v>0</v>
      </c>
      <c r="BN26" s="264">
        <f t="shared" si="66"/>
        <v>167.33549253707849</v>
      </c>
      <c r="BO26" s="263">
        <f t="shared" si="20"/>
        <v>0</v>
      </c>
      <c r="BP26" s="263">
        <f t="shared" si="21"/>
        <v>47.5</v>
      </c>
      <c r="BQ26" s="263">
        <f t="shared" si="22"/>
        <v>31.68704476152848</v>
      </c>
      <c r="BR26" s="263">
        <f t="shared" si="23"/>
        <v>12</v>
      </c>
      <c r="BS26" s="263">
        <f t="shared" si="24"/>
        <v>0</v>
      </c>
      <c r="BT26" s="107">
        <f t="shared" si="45"/>
        <v>0.18</v>
      </c>
      <c r="BU26" s="264">
        <f t="shared" si="67"/>
        <v>91.36704476152849</v>
      </c>
      <c r="BV26" s="264">
        <f t="shared" si="68"/>
        <v>75.968447775550004</v>
      </c>
      <c r="BW26" s="118">
        <f t="shared" si="47"/>
        <v>0</v>
      </c>
      <c r="BX26" s="265"/>
      <c r="BY26" s="263" cm="1">
        <f t="array" ref="BY26">SUM(BJ26:BM26, -BP26:BT26,)</f>
        <v>14.292223707170745</v>
      </c>
      <c r="BZ26" s="263">
        <f t="shared" si="53"/>
        <v>0</v>
      </c>
      <c r="CA26" s="263">
        <f t="shared" si="48"/>
        <v>0</v>
      </c>
      <c r="CB26" s="263">
        <f t="shared" si="49"/>
        <v>-62.187521154167555</v>
      </c>
      <c r="CC26" s="263">
        <f t="shared" si="50"/>
        <v>1169.2189817110666</v>
      </c>
      <c r="CD26" s="263">
        <f t="shared" si="27"/>
        <v>26.977072617030796</v>
      </c>
      <c r="CE26" s="263">
        <f t="shared" si="51"/>
        <v>0</v>
      </c>
      <c r="CF26" s="263">
        <f t="shared" si="52"/>
        <v>0</v>
      </c>
      <c r="CH26" s="21"/>
    </row>
    <row r="27" spans="1:86" ht="15.75" customHeight="1" x14ac:dyDescent="0.45">
      <c r="C27" s="21" t="s">
        <v>58</v>
      </c>
      <c r="D27" s="191" t="s">
        <v>25</v>
      </c>
      <c r="F27" s="154">
        <f>事業費用概算!J33</f>
        <v>1.9999999999999997E-2</v>
      </c>
      <c r="V27" s="294">
        <f t="shared" si="54"/>
        <v>49765</v>
      </c>
      <c r="W27" s="366">
        <f t="shared" si="29"/>
        <v>10</v>
      </c>
      <c r="X27" s="366" t="str">
        <f t="shared" si="30"/>
        <v>維持管理・運営期間</v>
      </c>
      <c r="Y27" s="106">
        <f t="shared" si="0"/>
        <v>0</v>
      </c>
      <c r="Z27" s="107">
        <f t="shared" si="1"/>
        <v>0</v>
      </c>
      <c r="AA27" s="107">
        <f t="shared" si="2"/>
        <v>0</v>
      </c>
      <c r="AB27" s="107">
        <f t="shared" si="3"/>
        <v>0</v>
      </c>
      <c r="AC27" s="108">
        <f t="shared" si="55"/>
        <v>0</v>
      </c>
      <c r="AD27" s="106">
        <f t="shared" si="4"/>
        <v>0</v>
      </c>
      <c r="AE27" s="107">
        <f t="shared" si="5"/>
        <v>47.5</v>
      </c>
      <c r="AF27" s="107">
        <f t="shared" si="32"/>
        <v>10</v>
      </c>
      <c r="AG27" s="368">
        <f>IF(AND($W27&gt;$O$83, SUM($AA$17:AA26)&gt;0,SUM($AG$17:AG26)&lt;$O$79),$O$82,0)</f>
        <v>64.125</v>
      </c>
      <c r="AH27" s="107">
        <f>IF(SUM($AA$18:$AA26)&gt;0,($O$79-SUM($AG$18:$AG26))*$F$83,0)</f>
        <v>21.257437499999998</v>
      </c>
      <c r="AI27" s="108">
        <f t="shared" si="56"/>
        <v>142.88243750000001</v>
      </c>
      <c r="AJ27" s="113">
        <f t="shared" si="57"/>
        <v>-142.88243750000001</v>
      </c>
      <c r="AK27" s="115">
        <f t="shared" si="34"/>
        <v>8.6986797977233898</v>
      </c>
      <c r="AL27" s="277"/>
      <c r="AM27" s="264">
        <f t="shared" si="7"/>
        <v>-98.559821282139282</v>
      </c>
      <c r="AN27" s="278"/>
      <c r="AO27" s="266">
        <f t="shared" si="8"/>
        <v>0</v>
      </c>
      <c r="AP27" s="263">
        <f t="shared" si="9"/>
        <v>0</v>
      </c>
      <c r="AQ27" s="263">
        <f t="shared" si="10"/>
        <v>0</v>
      </c>
      <c r="AR27" s="260">
        <f t="shared" si="11"/>
        <v>0</v>
      </c>
      <c r="AS27" s="261">
        <f t="shared" si="58"/>
        <v>0</v>
      </c>
      <c r="AT27" s="260">
        <f t="shared" si="12"/>
        <v>0</v>
      </c>
      <c r="AU27" s="260">
        <f t="shared" si="13"/>
        <v>64.009682329782322</v>
      </c>
      <c r="AV27" s="260">
        <f t="shared" si="14"/>
        <v>43.645810207296172</v>
      </c>
      <c r="AW27" s="260">
        <f t="shared" si="15"/>
        <v>47.5</v>
      </c>
      <c r="AX27" s="368">
        <f t="shared" si="36"/>
        <v>6</v>
      </c>
      <c r="AY27" s="260">
        <f t="shared" si="16"/>
        <v>12.18</v>
      </c>
      <c r="AZ27" s="368">
        <f>IF(AND($W27&gt;$P$83, SUM($AQ$17:AQ26)&gt;0,SUM($AZ$17:AZ26)&lt;$P$79),$P$82,0)</f>
        <v>64.125</v>
      </c>
      <c r="BA27" s="107">
        <f>IF(SUM($AQ$18:$AQ26)&gt;0,($P$79-SUM($AZ$18:$AZ26))*$F$83,0)</f>
        <v>21.257437499999998</v>
      </c>
      <c r="BB27" s="261">
        <f t="shared" si="59"/>
        <v>258.71793003707847</v>
      </c>
      <c r="BC27" s="263">
        <f t="shared" si="60"/>
        <v>-258.71793003707847</v>
      </c>
      <c r="BD27" s="264">
        <f t="shared" si="17"/>
        <v>-178.46275156762684</v>
      </c>
      <c r="BE27" s="279"/>
      <c r="BF27" s="180">
        <f t="shared" si="39"/>
        <v>0.68979661186238705</v>
      </c>
      <c r="BH27" s="266">
        <f t="shared" si="61"/>
        <v>0</v>
      </c>
      <c r="BI27" s="266">
        <f t="shared" si="62"/>
        <v>64.009682329782322</v>
      </c>
      <c r="BJ27" s="263">
        <f t="shared" si="63"/>
        <v>43.645810207296172</v>
      </c>
      <c r="BK27" s="263">
        <f t="shared" si="64"/>
        <v>47.5</v>
      </c>
      <c r="BL27" s="263">
        <f t="shared" si="65"/>
        <v>12.18</v>
      </c>
      <c r="BM27" s="260">
        <f t="shared" si="18"/>
        <v>0</v>
      </c>
      <c r="BN27" s="264">
        <f t="shared" si="66"/>
        <v>167.33549253707849</v>
      </c>
      <c r="BO27" s="263">
        <f t="shared" si="20"/>
        <v>0</v>
      </c>
      <c r="BP27" s="263">
        <f t="shared" si="21"/>
        <v>47.5</v>
      </c>
      <c r="BQ27" s="263">
        <f t="shared" si="22"/>
        <v>29.956117297723388</v>
      </c>
      <c r="BR27" s="263">
        <f t="shared" si="23"/>
        <v>12</v>
      </c>
      <c r="BS27" s="263">
        <f t="shared" si="24"/>
        <v>0</v>
      </c>
      <c r="BT27" s="107">
        <f t="shared" si="45"/>
        <v>0.18</v>
      </c>
      <c r="BU27" s="264">
        <f t="shared" si="67"/>
        <v>89.636117297723388</v>
      </c>
      <c r="BV27" s="264">
        <f t="shared" si="68"/>
        <v>77.699375239355106</v>
      </c>
      <c r="BW27" s="118">
        <f t="shared" si="47"/>
        <v>0</v>
      </c>
      <c r="BX27" s="265"/>
      <c r="BY27" s="263" cm="1">
        <f t="array" ref="BY27">SUM(BJ27:BM27, -BP27:BT27,)</f>
        <v>13.689692909572784</v>
      </c>
      <c r="BZ27" s="263">
        <f t="shared" si="53"/>
        <v>0</v>
      </c>
      <c r="CA27" s="263">
        <f t="shared" si="48"/>
        <v>0</v>
      </c>
      <c r="CB27" s="263">
        <f t="shared" si="49"/>
        <v>-63.918448617972651</v>
      </c>
      <c r="CC27" s="263">
        <f t="shared" si="50"/>
        <v>1118.9902260026668</v>
      </c>
      <c r="CD27" s="263">
        <f t="shared" si="27"/>
        <v>40.666765526603584</v>
      </c>
      <c r="CE27" s="263">
        <f t="shared" si="51"/>
        <v>0</v>
      </c>
      <c r="CF27" s="263">
        <f t="shared" si="52"/>
        <v>0</v>
      </c>
      <c r="CH27" s="21"/>
    </row>
    <row r="28" spans="1:86" ht="15.75" customHeight="1" x14ac:dyDescent="0.3">
      <c r="V28" s="294">
        <f t="shared" si="54"/>
        <v>50130</v>
      </c>
      <c r="W28" s="366">
        <f t="shared" si="29"/>
        <v>11</v>
      </c>
      <c r="X28" s="366" t="str">
        <f t="shared" si="30"/>
        <v>維持管理・運営期間</v>
      </c>
      <c r="Y28" s="106">
        <f t="shared" si="0"/>
        <v>0</v>
      </c>
      <c r="Z28" s="107">
        <f t="shared" si="1"/>
        <v>0</v>
      </c>
      <c r="AA28" s="107">
        <f t="shared" si="2"/>
        <v>0</v>
      </c>
      <c r="AB28" s="107">
        <f t="shared" si="3"/>
        <v>0</v>
      </c>
      <c r="AC28" s="108">
        <f t="shared" si="55"/>
        <v>0</v>
      </c>
      <c r="AD28" s="106">
        <f t="shared" si="4"/>
        <v>0</v>
      </c>
      <c r="AE28" s="107">
        <f t="shared" si="5"/>
        <v>47.5</v>
      </c>
      <c r="AF28" s="107">
        <f t="shared" si="32"/>
        <v>10</v>
      </c>
      <c r="AG28" s="368">
        <f>IF(AND($W28&gt;$O$83, SUM($AA$17:AA27)&gt;0,SUM($AG$17:AG27)&lt;$O$79),$O$82,0)</f>
        <v>64.125</v>
      </c>
      <c r="AH28" s="107">
        <f>IF(SUM($AA$18:$AA27)&gt;0,($O$79-SUM($AG$18:$AG27))*$F$83,0)</f>
        <v>20.007000000000001</v>
      </c>
      <c r="AI28" s="108">
        <f t="shared" si="56"/>
        <v>141.63200000000001</v>
      </c>
      <c r="AJ28" s="113">
        <f t="shared" si="57"/>
        <v>-141.63200000000001</v>
      </c>
      <c r="AK28" s="115">
        <f t="shared" si="34"/>
        <v>8.1700111988907338</v>
      </c>
      <c r="AL28" s="277"/>
      <c r="AM28" s="264">
        <f t="shared" si="7"/>
        <v>-94.135742065969723</v>
      </c>
      <c r="AN28" s="278"/>
      <c r="AO28" s="266">
        <f t="shared" si="8"/>
        <v>0</v>
      </c>
      <c r="AP28" s="263">
        <f t="shared" si="9"/>
        <v>0</v>
      </c>
      <c r="AQ28" s="263">
        <f t="shared" si="10"/>
        <v>0</v>
      </c>
      <c r="AR28" s="260">
        <f t="shared" si="11"/>
        <v>0</v>
      </c>
      <c r="AS28" s="261">
        <f t="shared" si="58"/>
        <v>0</v>
      </c>
      <c r="AT28" s="260">
        <f t="shared" si="12"/>
        <v>0</v>
      </c>
      <c r="AU28" s="260">
        <f t="shared" si="13"/>
        <v>66.431424651047323</v>
      </c>
      <c r="AV28" s="260">
        <f t="shared" si="14"/>
        <v>41.224067886031193</v>
      </c>
      <c r="AW28" s="260">
        <f t="shared" si="15"/>
        <v>47.5</v>
      </c>
      <c r="AX28" s="368">
        <f t="shared" si="36"/>
        <v>6</v>
      </c>
      <c r="AY28" s="260">
        <f t="shared" si="16"/>
        <v>12.18</v>
      </c>
      <c r="AZ28" s="368">
        <f>IF(AND($W28&gt;$P$83, SUM($AQ$17:AQ27)&gt;0,SUM($AZ$17:AZ27)&lt;$P$79),$P$82,0)</f>
        <v>64.125</v>
      </c>
      <c r="BA28" s="107">
        <f>IF(SUM($AQ$18:$AQ27)&gt;0,($P$79-SUM($AZ$18:$AZ27))*$F$83,0)</f>
        <v>20.007000000000001</v>
      </c>
      <c r="BB28" s="261">
        <f t="shared" si="59"/>
        <v>257.4674925370785</v>
      </c>
      <c r="BC28" s="263">
        <f t="shared" si="60"/>
        <v>-257.4674925370785</v>
      </c>
      <c r="BD28" s="264">
        <f t="shared" si="17"/>
        <v>-171.12582938772596</v>
      </c>
      <c r="BE28" s="279"/>
      <c r="BF28" s="180">
        <f t="shared" si="39"/>
        <v>0.66465023487608532</v>
      </c>
      <c r="BH28" s="266">
        <f t="shared" si="61"/>
        <v>0</v>
      </c>
      <c r="BI28" s="266">
        <f t="shared" si="62"/>
        <v>66.431424651047323</v>
      </c>
      <c r="BJ28" s="263">
        <f t="shared" si="63"/>
        <v>41.224067886031193</v>
      </c>
      <c r="BK28" s="263">
        <f t="shared" si="64"/>
        <v>47.5</v>
      </c>
      <c r="BL28" s="263">
        <f t="shared" si="65"/>
        <v>12.18</v>
      </c>
      <c r="BM28" s="260">
        <f t="shared" si="18"/>
        <v>0</v>
      </c>
      <c r="BN28" s="264">
        <f t="shared" si="66"/>
        <v>167.33549253707852</v>
      </c>
      <c r="BO28" s="263">
        <f t="shared" si="20"/>
        <v>0</v>
      </c>
      <c r="BP28" s="263">
        <f t="shared" si="21"/>
        <v>47.5</v>
      </c>
      <c r="BQ28" s="263">
        <f t="shared" si="22"/>
        <v>28.177011198890735</v>
      </c>
      <c r="BR28" s="263">
        <f t="shared" si="23"/>
        <v>12</v>
      </c>
      <c r="BS28" s="263">
        <f t="shared" si="24"/>
        <v>0</v>
      </c>
      <c r="BT28" s="107">
        <f t="shared" si="45"/>
        <v>0.18</v>
      </c>
      <c r="BU28" s="264">
        <f t="shared" si="67"/>
        <v>87.857011198890746</v>
      </c>
      <c r="BV28" s="264">
        <f t="shared" si="68"/>
        <v>79.478481338187777</v>
      </c>
      <c r="BW28" s="118">
        <f t="shared" si="47"/>
        <v>0</v>
      </c>
      <c r="BX28" s="265"/>
      <c r="BY28" s="263" cm="1">
        <f t="array" ref="BY28">SUM(BJ28:BM28, -BP28:BT28,)</f>
        <v>13.047056687140451</v>
      </c>
      <c r="BZ28" s="263">
        <f t="shared" si="53"/>
        <v>0</v>
      </c>
      <c r="CA28" s="263">
        <f t="shared" si="48"/>
        <v>0</v>
      </c>
      <c r="CB28" s="263">
        <f t="shared" si="49"/>
        <v>-65.697554716805314</v>
      </c>
      <c r="CC28" s="263">
        <f t="shared" si="50"/>
        <v>1066.3397279730018</v>
      </c>
      <c r="CD28" s="263">
        <f t="shared" si="27"/>
        <v>53.713822213744038</v>
      </c>
      <c r="CE28" s="263">
        <f t="shared" si="51"/>
        <v>0</v>
      </c>
      <c r="CF28" s="263">
        <f t="shared" si="52"/>
        <v>0</v>
      </c>
      <c r="CH28" s="21"/>
    </row>
    <row r="29" spans="1:86" ht="15.75" customHeight="1" thickBot="1" x14ac:dyDescent="0.35">
      <c r="A29" s="210" t="s">
        <v>17</v>
      </c>
      <c r="B29" s="225"/>
      <c r="C29" s="202"/>
      <c r="D29" s="203"/>
      <c r="E29" s="202"/>
      <c r="F29" s="202"/>
      <c r="G29" s="202"/>
      <c r="H29" s="204"/>
      <c r="I29" s="219" t="s">
        <v>150</v>
      </c>
      <c r="J29" s="225"/>
      <c r="K29" s="202"/>
      <c r="L29" s="202"/>
      <c r="M29" s="202"/>
      <c r="N29" s="203"/>
      <c r="O29" s="202"/>
      <c r="P29" s="202"/>
      <c r="Q29" s="202"/>
      <c r="R29" s="202"/>
      <c r="S29" s="202"/>
      <c r="T29" s="203"/>
      <c r="U29" s="202"/>
      <c r="V29" s="294">
        <f t="shared" si="54"/>
        <v>50495</v>
      </c>
      <c r="W29" s="366">
        <f t="shared" si="29"/>
        <v>12</v>
      </c>
      <c r="X29" s="366" t="str">
        <f t="shared" si="30"/>
        <v>維持管理・運営期間</v>
      </c>
      <c r="Y29" s="106">
        <f t="shared" si="0"/>
        <v>0</v>
      </c>
      <c r="Z29" s="107">
        <f t="shared" si="1"/>
        <v>0</v>
      </c>
      <c r="AA29" s="107">
        <f t="shared" si="2"/>
        <v>0</v>
      </c>
      <c r="AB29" s="107">
        <f t="shared" si="3"/>
        <v>0</v>
      </c>
      <c r="AC29" s="108">
        <f t="shared" si="55"/>
        <v>0</v>
      </c>
      <c r="AD29" s="106">
        <f t="shared" si="4"/>
        <v>0</v>
      </c>
      <c r="AE29" s="107">
        <f t="shared" si="5"/>
        <v>47.5</v>
      </c>
      <c r="AF29" s="107">
        <f t="shared" si="32"/>
        <v>10</v>
      </c>
      <c r="AG29" s="368">
        <f>IF(AND($W29&gt;$O$83, SUM($AA$17:AA28)&gt;0,SUM($AG$17:AG28)&lt;$O$79),$O$82,0)</f>
        <v>64.125</v>
      </c>
      <c r="AH29" s="107">
        <f>IF(SUM($AA$18:$AA28)&gt;0,($O$79-SUM($AG$18:$AG28))*$F$83,0)</f>
        <v>18.756562500000001</v>
      </c>
      <c r="AI29" s="108">
        <f t="shared" si="56"/>
        <v>140.3815625</v>
      </c>
      <c r="AJ29" s="113">
        <f t="shared" si="57"/>
        <v>-140.3815625</v>
      </c>
      <c r="AK29" s="115">
        <f t="shared" si="34"/>
        <v>7.5918229609031798</v>
      </c>
      <c r="AL29" s="277"/>
      <c r="AM29" s="264">
        <f t="shared" si="7"/>
        <v>-89.903239331046052</v>
      </c>
      <c r="AN29" s="278"/>
      <c r="AO29" s="266">
        <f t="shared" si="8"/>
        <v>0</v>
      </c>
      <c r="AP29" s="263">
        <f t="shared" si="9"/>
        <v>0</v>
      </c>
      <c r="AQ29" s="263">
        <f t="shared" si="10"/>
        <v>0</v>
      </c>
      <c r="AR29" s="260">
        <f t="shared" si="11"/>
        <v>0</v>
      </c>
      <c r="AS29" s="261">
        <f t="shared" si="58"/>
        <v>0</v>
      </c>
      <c r="AT29" s="260">
        <f t="shared" si="12"/>
        <v>0</v>
      </c>
      <c r="AU29" s="260">
        <f t="shared" si="13"/>
        <v>68.944791171295037</v>
      </c>
      <c r="AV29" s="260">
        <f t="shared" si="14"/>
        <v>38.710701365783464</v>
      </c>
      <c r="AW29" s="260">
        <f t="shared" si="15"/>
        <v>47.5</v>
      </c>
      <c r="AX29" s="368">
        <f t="shared" si="36"/>
        <v>6</v>
      </c>
      <c r="AY29" s="260">
        <f t="shared" si="16"/>
        <v>12.18</v>
      </c>
      <c r="AZ29" s="368">
        <f>IF(AND($W29&gt;$P$83, SUM($AQ$17:AQ28)&gt;0,SUM($AZ$17:AZ28)&lt;$P$79),$P$82,0)</f>
        <v>64.125</v>
      </c>
      <c r="BA29" s="107">
        <f>IF(SUM($AQ$18:$AQ28)&gt;0,($P$79-SUM($AZ$18:$AZ28))*$F$83,0)</f>
        <v>18.756562500000001</v>
      </c>
      <c r="BB29" s="261">
        <f t="shared" si="59"/>
        <v>256.21705503707847</v>
      </c>
      <c r="BC29" s="263">
        <f t="shared" si="60"/>
        <v>-256.21705503707847</v>
      </c>
      <c r="BD29" s="264">
        <f t="shared" si="17"/>
        <v>-164.08667071001054</v>
      </c>
      <c r="BE29" s="279"/>
      <c r="BF29" s="180">
        <f t="shared" si="39"/>
        <v>0.64042056328476937</v>
      </c>
      <c r="BH29" s="266">
        <f t="shared" si="61"/>
        <v>0</v>
      </c>
      <c r="BI29" s="266">
        <f t="shared" si="62"/>
        <v>68.944791171295037</v>
      </c>
      <c r="BJ29" s="263">
        <f t="shared" si="63"/>
        <v>38.710701365783464</v>
      </c>
      <c r="BK29" s="263">
        <f t="shared" si="64"/>
        <v>47.5</v>
      </c>
      <c r="BL29" s="263">
        <f t="shared" si="65"/>
        <v>12.18</v>
      </c>
      <c r="BM29" s="260">
        <f t="shared" si="18"/>
        <v>0</v>
      </c>
      <c r="BN29" s="264">
        <f t="shared" si="66"/>
        <v>167.33549253707849</v>
      </c>
      <c r="BO29" s="263">
        <f t="shared" si="20"/>
        <v>0</v>
      </c>
      <c r="BP29" s="263">
        <f t="shared" si="21"/>
        <v>47.5</v>
      </c>
      <c r="BQ29" s="263">
        <f t="shared" si="22"/>
        <v>26.348385460903181</v>
      </c>
      <c r="BR29" s="263">
        <f t="shared" si="23"/>
        <v>12</v>
      </c>
      <c r="BS29" s="263">
        <f t="shared" si="24"/>
        <v>0</v>
      </c>
      <c r="BT29" s="107">
        <f t="shared" si="45"/>
        <v>0.18</v>
      </c>
      <c r="BU29" s="264">
        <f t="shared" si="67"/>
        <v>86.028385460903195</v>
      </c>
      <c r="BV29" s="264">
        <f t="shared" si="68"/>
        <v>81.307107076175299</v>
      </c>
      <c r="BW29" s="118">
        <f t="shared" si="47"/>
        <v>0</v>
      </c>
      <c r="BX29" s="265"/>
      <c r="BY29" s="263" cm="1">
        <f t="array" ref="BY29">SUM(BJ29:BM29, -BP29:BT29,)</f>
        <v>12.362315904880276</v>
      </c>
      <c r="BZ29" s="263">
        <f t="shared" si="53"/>
        <v>0</v>
      </c>
      <c r="CA29" s="263">
        <f t="shared" si="48"/>
        <v>0</v>
      </c>
      <c r="CB29" s="263">
        <f t="shared" si="49"/>
        <v>-67.526180454792865</v>
      </c>
      <c r="CC29" s="263">
        <f t="shared" si="50"/>
        <v>1011.1758634230891</v>
      </c>
      <c r="CD29" s="263">
        <f t="shared" si="27"/>
        <v>66.076138118624314</v>
      </c>
      <c r="CE29" s="263">
        <f t="shared" si="51"/>
        <v>0</v>
      </c>
      <c r="CF29" s="263">
        <f t="shared" si="52"/>
        <v>0</v>
      </c>
      <c r="CH29" s="21"/>
    </row>
    <row r="30" spans="1:86" ht="15.75" customHeight="1" x14ac:dyDescent="0.3">
      <c r="V30" s="294">
        <f t="shared" si="54"/>
        <v>50860</v>
      </c>
      <c r="W30" s="366">
        <f t="shared" si="29"/>
        <v>13</v>
      </c>
      <c r="X30" s="366" t="str">
        <f t="shared" si="30"/>
        <v>維持管理・運営期間</v>
      </c>
      <c r="Y30" s="106">
        <f t="shared" si="0"/>
        <v>0</v>
      </c>
      <c r="Z30" s="107">
        <f t="shared" si="1"/>
        <v>0</v>
      </c>
      <c r="AA30" s="107">
        <f t="shared" si="2"/>
        <v>0</v>
      </c>
      <c r="AB30" s="107">
        <f t="shared" si="3"/>
        <v>0</v>
      </c>
      <c r="AC30" s="108">
        <f t="shared" si="55"/>
        <v>0</v>
      </c>
      <c r="AD30" s="106">
        <f t="shared" si="4"/>
        <v>0</v>
      </c>
      <c r="AE30" s="107">
        <f t="shared" si="5"/>
        <v>47.5</v>
      </c>
      <c r="AF30" s="107">
        <f t="shared" si="32"/>
        <v>10</v>
      </c>
      <c r="AG30" s="368">
        <f>IF(AND($W30&gt;$O$83, SUM($AA$17:AA29)&gt;0,SUM($AG$17:AG29)&lt;$O$79),$O$82,0)</f>
        <v>64.125</v>
      </c>
      <c r="AH30" s="107">
        <f>IF(SUM($AA$18:$AA29)&gt;0,($O$79-SUM($AG$18:$AG29))*$F$83,0)</f>
        <v>17.506125000000001</v>
      </c>
      <c r="AI30" s="108">
        <f t="shared" si="56"/>
        <v>139.131125</v>
      </c>
      <c r="AJ30" s="113">
        <f t="shared" si="57"/>
        <v>-139.131125</v>
      </c>
      <c r="AK30" s="115">
        <f t="shared" si="34"/>
        <v>6.9627367541244674</v>
      </c>
      <c r="AL30" s="277"/>
      <c r="AM30" s="264">
        <f t="shared" si="7"/>
        <v>-85.854224705438114</v>
      </c>
      <c r="AN30" s="278"/>
      <c r="AO30" s="266">
        <f t="shared" si="8"/>
        <v>0</v>
      </c>
      <c r="AP30" s="263">
        <f t="shared" si="9"/>
        <v>0</v>
      </c>
      <c r="AQ30" s="263">
        <f t="shared" si="10"/>
        <v>0</v>
      </c>
      <c r="AR30" s="260">
        <f t="shared" si="11"/>
        <v>0</v>
      </c>
      <c r="AS30" s="261">
        <f t="shared" si="58"/>
        <v>0</v>
      </c>
      <c r="AT30" s="260">
        <f t="shared" si="12"/>
        <v>0</v>
      </c>
      <c r="AU30" s="260">
        <f t="shared" si="13"/>
        <v>71.553248400469812</v>
      </c>
      <c r="AV30" s="260">
        <f t="shared" si="14"/>
        <v>36.102244136608697</v>
      </c>
      <c r="AW30" s="260">
        <f t="shared" si="15"/>
        <v>47.5</v>
      </c>
      <c r="AX30" s="368">
        <f t="shared" si="36"/>
        <v>6</v>
      </c>
      <c r="AY30" s="260">
        <f t="shared" si="16"/>
        <v>12.18</v>
      </c>
      <c r="AZ30" s="368">
        <f>IF(AND($W30&gt;$P$83, SUM($AQ$17:AQ29)&gt;0,SUM($AZ$17:AZ29)&lt;$P$79),$P$82,0)</f>
        <v>64.125</v>
      </c>
      <c r="BA30" s="107">
        <f>IF(SUM($AQ$18:$AQ29)&gt;0,($P$79-SUM($AZ$18:$AZ29))*$F$83,0)</f>
        <v>17.506125000000001</v>
      </c>
      <c r="BB30" s="261">
        <f t="shared" si="59"/>
        <v>254.96661753707852</v>
      </c>
      <c r="BC30" s="263">
        <f t="shared" si="60"/>
        <v>-254.96661753707852</v>
      </c>
      <c r="BD30" s="264">
        <f t="shared" si="17"/>
        <v>-157.33331613910144</v>
      </c>
      <c r="BE30" s="279"/>
      <c r="BF30" s="180">
        <f t="shared" si="39"/>
        <v>0.61707417880390258</v>
      </c>
      <c r="BH30" s="266">
        <f t="shared" si="61"/>
        <v>0</v>
      </c>
      <c r="BI30" s="266">
        <f t="shared" si="62"/>
        <v>71.553248400469812</v>
      </c>
      <c r="BJ30" s="263">
        <f t="shared" si="63"/>
        <v>36.102244136608697</v>
      </c>
      <c r="BK30" s="263">
        <f t="shared" si="64"/>
        <v>47.5</v>
      </c>
      <c r="BL30" s="263">
        <f t="shared" si="65"/>
        <v>12.18</v>
      </c>
      <c r="BM30" s="260">
        <f t="shared" si="18"/>
        <v>0</v>
      </c>
      <c r="BN30" s="264">
        <f t="shared" si="66"/>
        <v>167.33549253707852</v>
      </c>
      <c r="BO30" s="263">
        <f t="shared" si="20"/>
        <v>0</v>
      </c>
      <c r="BP30" s="263">
        <f t="shared" si="21"/>
        <v>47.5</v>
      </c>
      <c r="BQ30" s="263">
        <f t="shared" si="22"/>
        <v>24.468861754124468</v>
      </c>
      <c r="BR30" s="263">
        <f t="shared" si="23"/>
        <v>12</v>
      </c>
      <c r="BS30" s="263">
        <f t="shared" si="24"/>
        <v>0</v>
      </c>
      <c r="BT30" s="107">
        <f t="shared" si="45"/>
        <v>0.18</v>
      </c>
      <c r="BU30" s="264">
        <f t="shared" si="67"/>
        <v>84.148861754124482</v>
      </c>
      <c r="BV30" s="264">
        <f t="shared" si="68"/>
        <v>83.18663078295404</v>
      </c>
      <c r="BW30" s="118">
        <f t="shared" si="47"/>
        <v>0</v>
      </c>
      <c r="BX30" s="265"/>
      <c r="BY30" s="263" cm="1">
        <f t="array" ref="BY30">SUM(BJ30:BM30, -BP30:BT30,)</f>
        <v>11.633382382484243</v>
      </c>
      <c r="BZ30" s="263">
        <f t="shared" si="53"/>
        <v>0</v>
      </c>
      <c r="CA30" s="263">
        <f t="shared" si="48"/>
        <v>0</v>
      </c>
      <c r="CB30" s="263">
        <f t="shared" si="49"/>
        <v>-69.405704161571563</v>
      </c>
      <c r="CC30" s="263">
        <f t="shared" si="50"/>
        <v>953.40354164400185</v>
      </c>
      <c r="CD30" s="263">
        <f t="shared" si="27"/>
        <v>77.709520501108557</v>
      </c>
      <c r="CE30" s="263">
        <f t="shared" si="51"/>
        <v>0</v>
      </c>
      <c r="CF30" s="263">
        <f t="shared" si="52"/>
        <v>0</v>
      </c>
      <c r="CH30" s="21"/>
    </row>
    <row r="31" spans="1:86" ht="15.75" customHeight="1" x14ac:dyDescent="0.3">
      <c r="B31" s="223" t="s">
        <v>291</v>
      </c>
      <c r="E31" s="21" t="s">
        <v>55</v>
      </c>
      <c r="F31" s="21" t="s">
        <v>152</v>
      </c>
      <c r="I31" s="214"/>
      <c r="J31" s="223" t="s">
        <v>151</v>
      </c>
      <c r="O31" s="21" t="s">
        <v>55</v>
      </c>
      <c r="P31" s="21" t="s">
        <v>98</v>
      </c>
      <c r="V31" s="294">
        <f t="shared" si="54"/>
        <v>51226</v>
      </c>
      <c r="W31" s="366">
        <f t="shared" si="29"/>
        <v>14</v>
      </c>
      <c r="X31" s="366" t="str">
        <f t="shared" si="30"/>
        <v>維持管理・運営期間</v>
      </c>
      <c r="Y31" s="106">
        <f t="shared" si="0"/>
        <v>0</v>
      </c>
      <c r="Z31" s="107">
        <f t="shared" si="1"/>
        <v>0</v>
      </c>
      <c r="AA31" s="107">
        <f t="shared" si="2"/>
        <v>0</v>
      </c>
      <c r="AB31" s="107">
        <f t="shared" si="3"/>
        <v>0</v>
      </c>
      <c r="AC31" s="108">
        <f t="shared" si="55"/>
        <v>0</v>
      </c>
      <c r="AD31" s="106">
        <f t="shared" si="4"/>
        <v>0</v>
      </c>
      <c r="AE31" s="107">
        <f t="shared" si="5"/>
        <v>47.5</v>
      </c>
      <c r="AF31" s="107">
        <f t="shared" si="32"/>
        <v>10</v>
      </c>
      <c r="AG31" s="368">
        <f>IF(AND($W31&gt;$O$83, SUM($AA$17:AA30)&gt;0,SUM($AG$17:AG30)&lt;$O$79),$O$82,0)</f>
        <v>64.125</v>
      </c>
      <c r="AH31" s="107">
        <f>IF(SUM($AA$18:$AA30)&gt;0,($O$79-SUM($AG$18:$AG30))*$F$83,0)</f>
        <v>16.255687500000001</v>
      </c>
      <c r="AI31" s="108">
        <f t="shared" si="56"/>
        <v>137.88068749999999</v>
      </c>
      <c r="AJ31" s="113">
        <f t="shared" si="57"/>
        <v>-137.88068749999999</v>
      </c>
      <c r="AK31" s="115">
        <f t="shared" si="34"/>
        <v>6.2813358844912877</v>
      </c>
      <c r="AL31" s="277"/>
      <c r="AM31" s="264">
        <f t="shared" si="7"/>
        <v>-81.980944941079215</v>
      </c>
      <c r="AN31" s="278"/>
      <c r="AO31" s="266">
        <f t="shared" si="8"/>
        <v>0</v>
      </c>
      <c r="AP31" s="263">
        <f t="shared" si="9"/>
        <v>0</v>
      </c>
      <c r="AQ31" s="263">
        <f t="shared" si="10"/>
        <v>0</v>
      </c>
      <c r="AR31" s="260">
        <f t="shared" si="11"/>
        <v>0</v>
      </c>
      <c r="AS31" s="261">
        <f t="shared" si="58"/>
        <v>0</v>
      </c>
      <c r="AT31" s="260">
        <f t="shared" si="12"/>
        <v>0</v>
      </c>
      <c r="AU31" s="260">
        <f t="shared" si="13"/>
        <v>74.260394000453189</v>
      </c>
      <c r="AV31" s="260">
        <f t="shared" si="14"/>
        <v>33.395098536625312</v>
      </c>
      <c r="AW31" s="260">
        <f t="shared" si="15"/>
        <v>47.5</v>
      </c>
      <c r="AX31" s="368">
        <f t="shared" si="36"/>
        <v>6</v>
      </c>
      <c r="AY31" s="260">
        <f t="shared" si="16"/>
        <v>12.18</v>
      </c>
      <c r="AZ31" s="368">
        <f>IF(AND($W31&gt;$P$83, SUM($AQ$17:AQ30)&gt;0,SUM($AZ$17:AZ30)&lt;$P$79),$P$82,0)</f>
        <v>64.125</v>
      </c>
      <c r="BA31" s="107">
        <f>IF(SUM($AQ$18:$AQ30)&gt;0,($P$79-SUM($AZ$18:$AZ30))*$F$83,0)</f>
        <v>16.255687500000001</v>
      </c>
      <c r="BB31" s="261">
        <f t="shared" si="59"/>
        <v>253.71618003707849</v>
      </c>
      <c r="BC31" s="263">
        <f t="shared" si="60"/>
        <v>-253.71618003707849</v>
      </c>
      <c r="BD31" s="264">
        <f t="shared" si="17"/>
        <v>-150.85428252075315</v>
      </c>
      <c r="BE31" s="279"/>
      <c r="BF31" s="180">
        <f t="shared" si="39"/>
        <v>0.59457888140483217</v>
      </c>
      <c r="BH31" s="266">
        <f t="shared" si="61"/>
        <v>0</v>
      </c>
      <c r="BI31" s="266">
        <f t="shared" si="62"/>
        <v>74.260394000453189</v>
      </c>
      <c r="BJ31" s="263">
        <f t="shared" si="63"/>
        <v>33.395098536625312</v>
      </c>
      <c r="BK31" s="263">
        <f t="shared" si="64"/>
        <v>47.5</v>
      </c>
      <c r="BL31" s="263">
        <f t="shared" si="65"/>
        <v>12.18</v>
      </c>
      <c r="BM31" s="260">
        <f t="shared" si="18"/>
        <v>0</v>
      </c>
      <c r="BN31" s="264">
        <f t="shared" si="66"/>
        <v>167.33549253707849</v>
      </c>
      <c r="BO31" s="263">
        <f t="shared" si="20"/>
        <v>0</v>
      </c>
      <c r="BP31" s="263">
        <f t="shared" si="21"/>
        <v>47.5</v>
      </c>
      <c r="BQ31" s="263">
        <f t="shared" si="22"/>
        <v>22.537023384491288</v>
      </c>
      <c r="BR31" s="263">
        <f t="shared" si="23"/>
        <v>12</v>
      </c>
      <c r="BS31" s="263">
        <f t="shared" si="24"/>
        <v>0</v>
      </c>
      <c r="BT31" s="107">
        <f t="shared" si="45"/>
        <v>0.18</v>
      </c>
      <c r="BU31" s="264">
        <f t="shared" si="67"/>
        <v>82.217023384491299</v>
      </c>
      <c r="BV31" s="264">
        <f t="shared" si="68"/>
        <v>85.118469152587195</v>
      </c>
      <c r="BW31" s="118">
        <f t="shared" si="47"/>
        <v>0</v>
      </c>
      <c r="BX31" s="265"/>
      <c r="BY31" s="263" cm="1">
        <f t="array" ref="BY31">SUM(BJ31:BM31, -BP31:BT31,)</f>
        <v>10.858075152134031</v>
      </c>
      <c r="BZ31" s="263">
        <f t="shared" si="53"/>
        <v>0</v>
      </c>
      <c r="CA31" s="263">
        <f t="shared" si="48"/>
        <v>0</v>
      </c>
      <c r="CB31" s="263">
        <f t="shared" si="49"/>
        <v>-71.337542531204747</v>
      </c>
      <c r="CC31" s="263">
        <f t="shared" si="50"/>
        <v>892.92407426493105</v>
      </c>
      <c r="CD31" s="263">
        <f t="shared" si="27"/>
        <v>88.567595653242591</v>
      </c>
      <c r="CE31" s="263">
        <f t="shared" si="51"/>
        <v>0</v>
      </c>
      <c r="CF31" s="263">
        <f t="shared" si="52"/>
        <v>0</v>
      </c>
      <c r="CH31" s="21"/>
    </row>
    <row r="32" spans="1:86" ht="15.75" customHeight="1" x14ac:dyDescent="0.45">
      <c r="C32" s="21" t="s">
        <v>153</v>
      </c>
      <c r="D32" s="191" t="s">
        <v>21</v>
      </c>
      <c r="E32" s="155">
        <f>事業費用概算!G6</f>
        <v>0</v>
      </c>
      <c r="F32" s="178">
        <f>E32</f>
        <v>0</v>
      </c>
      <c r="K32" s="21" t="s">
        <v>154</v>
      </c>
      <c r="N32" s="191" t="s">
        <v>21</v>
      </c>
      <c r="O32" s="168">
        <f>E33*$F$65+E32</f>
        <v>2850</v>
      </c>
      <c r="P32" s="168">
        <f>SUM(F32:F33)*(1-F66)</f>
        <v>2850</v>
      </c>
      <c r="Q32" s="21" t="s">
        <v>155</v>
      </c>
      <c r="V32" s="294">
        <f t="shared" si="54"/>
        <v>51591</v>
      </c>
      <c r="W32" s="366">
        <f t="shared" si="29"/>
        <v>15</v>
      </c>
      <c r="X32" s="366" t="str">
        <f t="shared" si="30"/>
        <v>維持管理・運営期間</v>
      </c>
      <c r="Y32" s="106">
        <f t="shared" si="0"/>
        <v>0</v>
      </c>
      <c r="Z32" s="107">
        <f t="shared" si="1"/>
        <v>0</v>
      </c>
      <c r="AA32" s="107">
        <f t="shared" si="2"/>
        <v>0</v>
      </c>
      <c r="AB32" s="107">
        <f t="shared" si="3"/>
        <v>0</v>
      </c>
      <c r="AC32" s="108">
        <f t="shared" si="55"/>
        <v>0</v>
      </c>
      <c r="AD32" s="106">
        <f t="shared" si="4"/>
        <v>0</v>
      </c>
      <c r="AE32" s="107">
        <f t="shared" si="5"/>
        <v>47.5</v>
      </c>
      <c r="AF32" s="107">
        <f t="shared" si="32"/>
        <v>10</v>
      </c>
      <c r="AG32" s="368">
        <f>IF(AND($W32&gt;$O$83, SUM($AA$17:AA31)&gt;0,SUM($AG$17:AG31)&lt;$O$79),$O$82,0)</f>
        <v>64.125</v>
      </c>
      <c r="AH32" s="107">
        <f>IF(SUM($AA$18:$AA31)&gt;0,($O$79-SUM($AG$18:$AG31))*$F$83,0)</f>
        <v>15.00525</v>
      </c>
      <c r="AI32" s="108">
        <f t="shared" si="56"/>
        <v>136.63024999999999</v>
      </c>
      <c r="AJ32" s="113">
        <f t="shared" si="57"/>
        <v>-136.63024999999999</v>
      </c>
      <c r="AK32" s="115">
        <f t="shared" si="34"/>
        <v>5.5461642256777353</v>
      </c>
      <c r="AL32" s="277"/>
      <c r="AM32" s="264">
        <f t="shared" si="7"/>
        <v>-78.275968229083432</v>
      </c>
      <c r="AN32" s="278"/>
      <c r="AO32" s="266">
        <f t="shared" si="8"/>
        <v>0</v>
      </c>
      <c r="AP32" s="263">
        <f t="shared" si="9"/>
        <v>0</v>
      </c>
      <c r="AQ32" s="263">
        <f t="shared" si="10"/>
        <v>0</v>
      </c>
      <c r="AR32" s="260">
        <f t="shared" si="11"/>
        <v>0</v>
      </c>
      <c r="AS32" s="261">
        <f t="shared" si="58"/>
        <v>0</v>
      </c>
      <c r="AT32" s="260">
        <f t="shared" si="12"/>
        <v>0</v>
      </c>
      <c r="AU32" s="260">
        <f t="shared" si="13"/>
        <v>77.069961747066344</v>
      </c>
      <c r="AV32" s="260">
        <f t="shared" si="14"/>
        <v>30.585530790012172</v>
      </c>
      <c r="AW32" s="260">
        <f t="shared" si="15"/>
        <v>47.5</v>
      </c>
      <c r="AX32" s="368">
        <f t="shared" si="36"/>
        <v>6</v>
      </c>
      <c r="AY32" s="260">
        <f t="shared" si="16"/>
        <v>12.18</v>
      </c>
      <c r="AZ32" s="368">
        <f>IF(AND($W32&gt;$P$83, SUM($AQ$17:AQ31)&gt;0,SUM($AZ$17:AZ31)&lt;$P$79),$P$82,0)</f>
        <v>64.125</v>
      </c>
      <c r="BA32" s="107">
        <f>IF(SUM($AQ$18:$AQ31)&gt;0,($P$79-SUM($AZ$18:$AZ31))*$F$83,0)</f>
        <v>15.00525</v>
      </c>
      <c r="BB32" s="261">
        <f t="shared" si="59"/>
        <v>252.46574253707851</v>
      </c>
      <c r="BC32" s="263">
        <f t="shared" si="60"/>
        <v>-252.46574253707851</v>
      </c>
      <c r="BD32" s="264">
        <f t="shared" si="17"/>
        <v>-144.63854411277384</v>
      </c>
      <c r="BE32" s="279"/>
      <c r="BF32" s="180">
        <f t="shared" si="39"/>
        <v>0.57290364490355128</v>
      </c>
      <c r="BH32" s="266">
        <f t="shared" si="61"/>
        <v>0</v>
      </c>
      <c r="BI32" s="266">
        <f t="shared" si="62"/>
        <v>77.069961747066344</v>
      </c>
      <c r="BJ32" s="263">
        <f t="shared" si="63"/>
        <v>30.585530790012172</v>
      </c>
      <c r="BK32" s="263">
        <f t="shared" si="64"/>
        <v>47.5</v>
      </c>
      <c r="BL32" s="263">
        <f t="shared" si="65"/>
        <v>12.18</v>
      </c>
      <c r="BM32" s="260">
        <f t="shared" si="18"/>
        <v>0</v>
      </c>
      <c r="BN32" s="264">
        <f t="shared" si="66"/>
        <v>167.33549253707852</v>
      </c>
      <c r="BO32" s="263">
        <f t="shared" si="20"/>
        <v>0</v>
      </c>
      <c r="BP32" s="263">
        <f t="shared" si="21"/>
        <v>47.5</v>
      </c>
      <c r="BQ32" s="263">
        <f t="shared" si="22"/>
        <v>20.551414225677735</v>
      </c>
      <c r="BR32" s="263">
        <f t="shared" si="23"/>
        <v>12</v>
      </c>
      <c r="BS32" s="263">
        <f t="shared" si="24"/>
        <v>0</v>
      </c>
      <c r="BT32" s="107">
        <f t="shared" si="45"/>
        <v>0.18</v>
      </c>
      <c r="BU32" s="264">
        <f t="shared" si="67"/>
        <v>80.231414225677739</v>
      </c>
      <c r="BV32" s="264">
        <f t="shared" si="68"/>
        <v>87.104078311400784</v>
      </c>
      <c r="BW32" s="118">
        <f t="shared" si="47"/>
        <v>0</v>
      </c>
      <c r="BX32" s="265"/>
      <c r="BY32" s="263" cm="1">
        <f t="array" ref="BY32">SUM(BJ32:BM32, -BP32:BT32,)</f>
        <v>10.034116564334443</v>
      </c>
      <c r="BZ32" s="263">
        <f t="shared" si="53"/>
        <v>0</v>
      </c>
      <c r="CA32" s="263">
        <f t="shared" si="48"/>
        <v>0</v>
      </c>
      <c r="CB32" s="263">
        <f t="shared" si="49"/>
        <v>-73.323151690018292</v>
      </c>
      <c r="CC32" s="263">
        <f t="shared" si="50"/>
        <v>829.63503913924717</v>
      </c>
      <c r="CD32" s="263">
        <f t="shared" si="27"/>
        <v>98.601712217577031</v>
      </c>
      <c r="CE32" s="263">
        <f t="shared" si="51"/>
        <v>0</v>
      </c>
      <c r="CF32" s="263">
        <f t="shared" si="52"/>
        <v>0</v>
      </c>
      <c r="CH32" s="21"/>
    </row>
    <row r="33" spans="2:86" ht="15.75" customHeight="1" x14ac:dyDescent="0.45">
      <c r="C33" s="21" t="s">
        <v>156</v>
      </c>
      <c r="D33" s="191" t="s">
        <v>21</v>
      </c>
      <c r="E33" s="156">
        <f>事業費用概算!G7</f>
        <v>3000</v>
      </c>
      <c r="F33" s="178">
        <f>E33</f>
        <v>3000</v>
      </c>
      <c r="K33" s="119" t="s">
        <v>157</v>
      </c>
      <c r="M33" s="119"/>
      <c r="N33" s="191" t="s">
        <v>21</v>
      </c>
      <c r="O33" s="147">
        <f>O32*E35</f>
        <v>2850</v>
      </c>
      <c r="P33" s="147">
        <f>$P32*F35</f>
        <v>1425</v>
      </c>
      <c r="V33" s="294">
        <f t="shared" si="54"/>
        <v>51956</v>
      </c>
      <c r="W33" s="366">
        <f t="shared" si="29"/>
        <v>16</v>
      </c>
      <c r="X33" s="366" t="str">
        <f t="shared" si="30"/>
        <v>維持管理・運営期間</v>
      </c>
      <c r="Y33" s="106">
        <f t="shared" si="0"/>
        <v>0</v>
      </c>
      <c r="Z33" s="107">
        <f t="shared" si="1"/>
        <v>0</v>
      </c>
      <c r="AA33" s="107">
        <f t="shared" si="2"/>
        <v>0</v>
      </c>
      <c r="AB33" s="107">
        <f t="shared" si="3"/>
        <v>0</v>
      </c>
      <c r="AC33" s="108">
        <f t="shared" si="55"/>
        <v>0</v>
      </c>
      <c r="AD33" s="106">
        <f t="shared" si="4"/>
        <v>0</v>
      </c>
      <c r="AE33" s="107">
        <f t="shared" si="5"/>
        <v>47.5</v>
      </c>
      <c r="AF33" s="107">
        <f t="shared" si="32"/>
        <v>10</v>
      </c>
      <c r="AG33" s="368">
        <f>IF(AND($W33&gt;$O$83, SUM($AA$17:AA32)&gt;0,SUM($AG$17:AG32)&lt;$O$79),$O$82,0)</f>
        <v>64.125</v>
      </c>
      <c r="AH33" s="107">
        <f>IF(SUM($AA$18:$AA32)&gt;0,($O$79-SUM($AG$18:$AG32))*$F$83,0)</f>
        <v>13.7548125</v>
      </c>
      <c r="AI33" s="108">
        <f t="shared" si="56"/>
        <v>135.37981250000001</v>
      </c>
      <c r="AJ33" s="113">
        <f t="shared" si="57"/>
        <v>-135.37981250000001</v>
      </c>
      <c r="AK33" s="115">
        <f t="shared" si="34"/>
        <v>4.7557251215377718</v>
      </c>
      <c r="AL33" s="277"/>
      <c r="AM33" s="264">
        <f t="shared" si="7"/>
        <v>-74.732171067443701</v>
      </c>
      <c r="AN33" s="278"/>
      <c r="AO33" s="266">
        <f t="shared" si="8"/>
        <v>0</v>
      </c>
      <c r="AP33" s="263">
        <f t="shared" si="9"/>
        <v>0</v>
      </c>
      <c r="AQ33" s="263">
        <f t="shared" si="10"/>
        <v>0</v>
      </c>
      <c r="AR33" s="260">
        <f t="shared" si="11"/>
        <v>0</v>
      </c>
      <c r="AS33" s="261">
        <f t="shared" si="58"/>
        <v>0</v>
      </c>
      <c r="AT33" s="260">
        <f t="shared" si="12"/>
        <v>0</v>
      </c>
      <c r="AU33" s="260">
        <f t="shared" si="13"/>
        <v>79.985826679804845</v>
      </c>
      <c r="AV33" s="260">
        <f t="shared" si="14"/>
        <v>27.66966585727366</v>
      </c>
      <c r="AW33" s="260">
        <f t="shared" si="15"/>
        <v>47.5</v>
      </c>
      <c r="AX33" s="368">
        <f t="shared" si="36"/>
        <v>6</v>
      </c>
      <c r="AY33" s="260">
        <f t="shared" si="16"/>
        <v>12.18</v>
      </c>
      <c r="AZ33" s="368">
        <f>IF(AND($W33&gt;$P$83, SUM($AQ$17:AQ32)&gt;0,SUM($AZ$17:AZ32)&lt;$P$79),$P$82,0)</f>
        <v>64.125</v>
      </c>
      <c r="BA33" s="107">
        <f>IF(SUM($AQ$18:$AQ32)&gt;0,($P$79-SUM($AZ$18:$AZ32))*$F$83,0)</f>
        <v>13.7548125</v>
      </c>
      <c r="BB33" s="261">
        <f t="shared" si="59"/>
        <v>251.21530503707851</v>
      </c>
      <c r="BC33" s="263">
        <f t="shared" si="60"/>
        <v>-251.21530503707851</v>
      </c>
      <c r="BD33" s="264">
        <f t="shared" si="17"/>
        <v>-138.67551449586327</v>
      </c>
      <c r="BE33" s="279"/>
      <c r="BF33" s="180">
        <f t="shared" si="39"/>
        <v>0.55201857416846178</v>
      </c>
      <c r="BH33" s="266">
        <f t="shared" si="61"/>
        <v>0</v>
      </c>
      <c r="BI33" s="266">
        <f t="shared" si="62"/>
        <v>79.985826679804845</v>
      </c>
      <c r="BJ33" s="263">
        <f t="shared" si="63"/>
        <v>27.66966585727366</v>
      </c>
      <c r="BK33" s="263">
        <f t="shared" si="64"/>
        <v>47.5</v>
      </c>
      <c r="BL33" s="263">
        <f t="shared" si="65"/>
        <v>12.18</v>
      </c>
      <c r="BM33" s="260">
        <f t="shared" si="18"/>
        <v>0</v>
      </c>
      <c r="BN33" s="264">
        <f t="shared" si="66"/>
        <v>167.33549253707849</v>
      </c>
      <c r="BO33" s="263">
        <f t="shared" si="20"/>
        <v>0</v>
      </c>
      <c r="BP33" s="263">
        <f t="shared" si="21"/>
        <v>47.5</v>
      </c>
      <c r="BQ33" s="263">
        <f t="shared" si="22"/>
        <v>18.510537621537772</v>
      </c>
      <c r="BR33" s="263">
        <f t="shared" si="23"/>
        <v>12</v>
      </c>
      <c r="BS33" s="263">
        <f t="shared" si="24"/>
        <v>0</v>
      </c>
      <c r="BT33" s="107">
        <f t="shared" si="45"/>
        <v>0.18</v>
      </c>
      <c r="BU33" s="264">
        <f t="shared" si="67"/>
        <v>78.190537621537771</v>
      </c>
      <c r="BV33" s="264">
        <f t="shared" si="68"/>
        <v>89.144954915540723</v>
      </c>
      <c r="BW33" s="118">
        <f t="shared" si="47"/>
        <v>0</v>
      </c>
      <c r="BX33" s="265"/>
      <c r="BY33" s="263" cm="1">
        <f t="array" ref="BY33">SUM(BJ33:BM33, -BP33:BT33,)</f>
        <v>9.1591282357358921</v>
      </c>
      <c r="BZ33" s="263">
        <f t="shared" si="53"/>
        <v>0</v>
      </c>
      <c r="CA33" s="263">
        <f t="shared" si="48"/>
        <v>0</v>
      </c>
      <c r="CB33" s="263">
        <f t="shared" si="49"/>
        <v>-75.36402829415826</v>
      </c>
      <c r="CC33" s="263">
        <f t="shared" si="50"/>
        <v>763.4301390808248</v>
      </c>
      <c r="CD33" s="263">
        <f t="shared" si="27"/>
        <v>107.76084045331292</v>
      </c>
      <c r="CE33" s="263">
        <f t="shared" si="51"/>
        <v>0</v>
      </c>
      <c r="CF33" s="263">
        <f t="shared" si="52"/>
        <v>0</v>
      </c>
      <c r="CH33" s="21"/>
    </row>
    <row r="34" spans="2:86" ht="15.75" customHeight="1" x14ac:dyDescent="0.3">
      <c r="E34" s="22"/>
      <c r="F34" s="22"/>
      <c r="K34" s="119" t="s">
        <v>158</v>
      </c>
      <c r="M34" s="119"/>
      <c r="N34" s="191" t="s">
        <v>21</v>
      </c>
      <c r="O34" s="436">
        <f>O33*E36</f>
        <v>0</v>
      </c>
      <c r="P34" s="436">
        <f>$P32*F36</f>
        <v>1425</v>
      </c>
      <c r="V34" s="294">
        <f t="shared" si="54"/>
        <v>52321</v>
      </c>
      <c r="W34" s="366">
        <f t="shared" si="29"/>
        <v>17</v>
      </c>
      <c r="X34" s="366" t="str">
        <f t="shared" si="30"/>
        <v>維持管理・運営期間</v>
      </c>
      <c r="Y34" s="106">
        <f t="shared" si="0"/>
        <v>0</v>
      </c>
      <c r="Z34" s="107">
        <f t="shared" si="1"/>
        <v>0</v>
      </c>
      <c r="AA34" s="107">
        <f t="shared" si="2"/>
        <v>0</v>
      </c>
      <c r="AB34" s="107">
        <f t="shared" si="3"/>
        <v>0</v>
      </c>
      <c r="AC34" s="108">
        <f t="shared" si="55"/>
        <v>0</v>
      </c>
      <c r="AD34" s="106">
        <f t="shared" si="4"/>
        <v>0</v>
      </c>
      <c r="AE34" s="107">
        <f t="shared" si="5"/>
        <v>47.5</v>
      </c>
      <c r="AF34" s="107">
        <f t="shared" si="32"/>
        <v>10</v>
      </c>
      <c r="AG34" s="368">
        <f>IF(AND($W34&gt;$O$83, SUM($AA$17:AA33)&gt;0,SUM($AG$17:AG33)&lt;$O$79),$O$82,0)</f>
        <v>64.125</v>
      </c>
      <c r="AH34" s="107">
        <f>IF(SUM($AA$18:$AA33)&gt;0,($O$79-SUM($AG$18:$AG33))*$F$83,0)</f>
        <v>12.504375</v>
      </c>
      <c r="AI34" s="108">
        <f t="shared" si="56"/>
        <v>134.12937500000001</v>
      </c>
      <c r="AJ34" s="113">
        <f t="shared" si="57"/>
        <v>-134.12937500000001</v>
      </c>
      <c r="AK34" s="115">
        <f t="shared" si="34"/>
        <v>3.9084802579981641</v>
      </c>
      <c r="AL34" s="277"/>
      <c r="AM34" s="264">
        <f t="shared" si="7"/>
        <v>-71.342725659023429</v>
      </c>
      <c r="AN34" s="278"/>
      <c r="AO34" s="266">
        <f t="shared" si="8"/>
        <v>0</v>
      </c>
      <c r="AP34" s="263">
        <f t="shared" si="9"/>
        <v>0</v>
      </c>
      <c r="AQ34" s="263">
        <f t="shared" si="10"/>
        <v>0</v>
      </c>
      <c r="AR34" s="260">
        <f t="shared" si="11"/>
        <v>0</v>
      </c>
      <c r="AS34" s="261">
        <f t="shared" si="58"/>
        <v>0</v>
      </c>
      <c r="AT34" s="260">
        <f t="shared" si="12"/>
        <v>0</v>
      </c>
      <c r="AU34" s="260">
        <f t="shared" si="13"/>
        <v>83.012010446408581</v>
      </c>
      <c r="AV34" s="260">
        <f t="shared" si="14"/>
        <v>24.643482090669927</v>
      </c>
      <c r="AW34" s="260">
        <f t="shared" si="15"/>
        <v>47.5</v>
      </c>
      <c r="AX34" s="368">
        <f t="shared" si="36"/>
        <v>6</v>
      </c>
      <c r="AY34" s="260">
        <f t="shared" si="16"/>
        <v>12.18</v>
      </c>
      <c r="AZ34" s="368">
        <f>IF(AND($W34&gt;$P$83, SUM($AQ$17:AQ33)&gt;0,SUM($AZ$17:AZ33)&lt;$P$79),$P$82,0)</f>
        <v>64.125</v>
      </c>
      <c r="BA34" s="107">
        <f>IF(SUM($AQ$18:$AQ33)&gt;0,($P$79-SUM($AZ$18:$AZ33))*$F$83,0)</f>
        <v>12.504375</v>
      </c>
      <c r="BB34" s="261">
        <f t="shared" si="59"/>
        <v>249.96486753707853</v>
      </c>
      <c r="BC34" s="263">
        <f t="shared" si="60"/>
        <v>-249.96486753707853</v>
      </c>
      <c r="BD34" s="264">
        <f t="shared" si="17"/>
        <v>-132.955029195446</v>
      </c>
      <c r="BE34" s="279"/>
      <c r="BF34" s="180">
        <f t="shared" si="39"/>
        <v>0.53189486388811869</v>
      </c>
      <c r="BH34" s="266">
        <f t="shared" si="61"/>
        <v>0</v>
      </c>
      <c r="BI34" s="266">
        <f t="shared" si="62"/>
        <v>83.012010446408581</v>
      </c>
      <c r="BJ34" s="263">
        <f t="shared" si="63"/>
        <v>24.643482090669927</v>
      </c>
      <c r="BK34" s="263">
        <f t="shared" si="64"/>
        <v>47.5</v>
      </c>
      <c r="BL34" s="263">
        <f t="shared" si="65"/>
        <v>12.18</v>
      </c>
      <c r="BM34" s="260">
        <f t="shared" si="18"/>
        <v>0</v>
      </c>
      <c r="BN34" s="264">
        <f t="shared" si="66"/>
        <v>167.33549253707852</v>
      </c>
      <c r="BO34" s="263">
        <f t="shared" si="20"/>
        <v>0</v>
      </c>
      <c r="BP34" s="263">
        <f t="shared" si="21"/>
        <v>47.5</v>
      </c>
      <c r="BQ34" s="263">
        <f t="shared" si="22"/>
        <v>16.412855257998164</v>
      </c>
      <c r="BR34" s="263">
        <f t="shared" si="23"/>
        <v>12</v>
      </c>
      <c r="BS34" s="263">
        <f t="shared" si="24"/>
        <v>0</v>
      </c>
      <c r="BT34" s="107">
        <f t="shared" si="45"/>
        <v>0.18</v>
      </c>
      <c r="BU34" s="264">
        <f t="shared" si="67"/>
        <v>76.092855257998167</v>
      </c>
      <c r="BV34" s="264">
        <f t="shared" si="68"/>
        <v>91.242637279080355</v>
      </c>
      <c r="BW34" s="118">
        <f t="shared" si="47"/>
        <v>0</v>
      </c>
      <c r="BX34" s="265"/>
      <c r="BY34" s="263" cm="1">
        <f t="array" ref="BY34">SUM(BJ34:BM34, -BP34:BT34,)</f>
        <v>8.2306268326717635</v>
      </c>
      <c r="BZ34" s="263">
        <f t="shared" si="53"/>
        <v>0</v>
      </c>
      <c r="CA34" s="263">
        <f t="shared" si="48"/>
        <v>0</v>
      </c>
      <c r="CB34" s="263">
        <f t="shared" si="49"/>
        <v>-77.461710657697864</v>
      </c>
      <c r="CC34" s="263">
        <f t="shared" si="50"/>
        <v>694.19905525579873</v>
      </c>
      <c r="CD34" s="263">
        <f t="shared" si="27"/>
        <v>115.99146728598468</v>
      </c>
      <c r="CE34" s="263">
        <f t="shared" si="51"/>
        <v>0</v>
      </c>
      <c r="CF34" s="263">
        <f t="shared" si="52"/>
        <v>0</v>
      </c>
      <c r="CH34" s="21"/>
    </row>
    <row r="35" spans="2:86" ht="15.75" customHeight="1" x14ac:dyDescent="0.45">
      <c r="C35" s="21" t="s">
        <v>159</v>
      </c>
      <c r="D35" s="191" t="s">
        <v>25</v>
      </c>
      <c r="E35" s="315">
        <v>1</v>
      </c>
      <c r="F35" s="157">
        <v>0.5</v>
      </c>
      <c r="K35" s="275" t="s">
        <v>161</v>
      </c>
      <c r="L35" s="241"/>
      <c r="M35" s="275"/>
      <c r="N35" s="242" t="s">
        <v>21</v>
      </c>
      <c r="O35" s="437">
        <f>SUM(O33:O34)</f>
        <v>2850</v>
      </c>
      <c r="P35" s="437">
        <f>SUM(P33:P34)</f>
        <v>2850</v>
      </c>
      <c r="V35" s="294">
        <f t="shared" si="54"/>
        <v>52687</v>
      </c>
      <c r="W35" s="366">
        <f t="shared" si="29"/>
        <v>18</v>
      </c>
      <c r="X35" s="366" t="str">
        <f t="shared" si="30"/>
        <v>維持管理・運営期間</v>
      </c>
      <c r="Y35" s="106">
        <f t="shared" si="0"/>
        <v>0</v>
      </c>
      <c r="Z35" s="107">
        <f t="shared" si="1"/>
        <v>0</v>
      </c>
      <c r="AA35" s="107">
        <f t="shared" si="2"/>
        <v>0</v>
      </c>
      <c r="AB35" s="107">
        <f t="shared" si="3"/>
        <v>0</v>
      </c>
      <c r="AC35" s="108">
        <f t="shared" si="55"/>
        <v>0</v>
      </c>
      <c r="AD35" s="106">
        <f t="shared" si="4"/>
        <v>0</v>
      </c>
      <c r="AE35" s="107">
        <f t="shared" si="5"/>
        <v>47.5</v>
      </c>
      <c r="AF35" s="107">
        <f t="shared" si="32"/>
        <v>10</v>
      </c>
      <c r="AG35" s="368">
        <f>IF(AND($W35&gt;$O$83, SUM($AA$17:AA34)&gt;0,SUM($AG$17:AG34)&lt;$O$79),$O$82,0)</f>
        <v>64.125</v>
      </c>
      <c r="AH35" s="107">
        <f>IF(SUM($AA$18:$AA34)&gt;0,($O$79-SUM($AG$18:$AG34))*$F$83,0)</f>
        <v>11.253937499999999</v>
      </c>
      <c r="AI35" s="108">
        <f t="shared" si="56"/>
        <v>132.87893750000001</v>
      </c>
      <c r="AJ35" s="113">
        <f t="shared" si="57"/>
        <v>-132.87893750000001</v>
      </c>
      <c r="AK35" s="115">
        <f t="shared" si="34"/>
        <v>3.0028485035518049</v>
      </c>
      <c r="AL35" s="277"/>
      <c r="AM35" s="264">
        <f t="shared" si="7"/>
        <v>-68.10108781863029</v>
      </c>
      <c r="AN35" s="278"/>
      <c r="AO35" s="266">
        <f t="shared" si="8"/>
        <v>0</v>
      </c>
      <c r="AP35" s="263">
        <f t="shared" si="9"/>
        <v>0</v>
      </c>
      <c r="AQ35" s="263">
        <f t="shared" si="10"/>
        <v>0</v>
      </c>
      <c r="AR35" s="260">
        <f t="shared" si="11"/>
        <v>0</v>
      </c>
      <c r="AS35" s="261">
        <f t="shared" si="58"/>
        <v>0</v>
      </c>
      <c r="AT35" s="260">
        <f t="shared" si="12"/>
        <v>0</v>
      </c>
      <c r="AU35" s="260">
        <f t="shared" si="13"/>
        <v>86.152686849638002</v>
      </c>
      <c r="AV35" s="260">
        <f t="shared" si="14"/>
        <v>21.5028056874405</v>
      </c>
      <c r="AW35" s="260">
        <f t="shared" si="15"/>
        <v>47.5</v>
      </c>
      <c r="AX35" s="368">
        <f t="shared" si="36"/>
        <v>6</v>
      </c>
      <c r="AY35" s="260">
        <f t="shared" si="16"/>
        <v>12.18</v>
      </c>
      <c r="AZ35" s="368">
        <f>IF(AND($W35&gt;$P$83, SUM($AQ$17:AQ34)&gt;0,SUM($AZ$17:AZ34)&lt;$P$79),$P$82,0)</f>
        <v>64.125</v>
      </c>
      <c r="BA35" s="107">
        <f>IF(SUM($AQ$18:$AQ34)&gt;0,($P$79-SUM($AZ$18:$AZ34))*$F$83,0)</f>
        <v>11.253937499999999</v>
      </c>
      <c r="BB35" s="261">
        <f t="shared" si="59"/>
        <v>248.7144300370785</v>
      </c>
      <c r="BC35" s="263">
        <f t="shared" si="60"/>
        <v>-248.7144300370785</v>
      </c>
      <c r="BD35" s="264">
        <f t="shared" si="17"/>
        <v>-127.4673289867001</v>
      </c>
      <c r="BE35" s="279"/>
      <c r="BF35" s="180">
        <f t="shared" si="39"/>
        <v>0.51250475884208724</v>
      </c>
      <c r="BH35" s="266">
        <f t="shared" si="61"/>
        <v>0</v>
      </c>
      <c r="BI35" s="266">
        <f t="shared" si="62"/>
        <v>86.152686849638002</v>
      </c>
      <c r="BJ35" s="263">
        <f t="shared" si="63"/>
        <v>21.5028056874405</v>
      </c>
      <c r="BK35" s="263">
        <f t="shared" si="64"/>
        <v>47.5</v>
      </c>
      <c r="BL35" s="263">
        <f t="shared" si="65"/>
        <v>12.18</v>
      </c>
      <c r="BM35" s="260">
        <f t="shared" si="18"/>
        <v>0</v>
      </c>
      <c r="BN35" s="264">
        <f t="shared" si="66"/>
        <v>167.33549253707849</v>
      </c>
      <c r="BO35" s="263">
        <f t="shared" si="20"/>
        <v>0</v>
      </c>
      <c r="BP35" s="263">
        <f t="shared" si="21"/>
        <v>47.5</v>
      </c>
      <c r="BQ35" s="263">
        <f t="shared" si="22"/>
        <v>14.256786003551804</v>
      </c>
      <c r="BR35" s="263">
        <f t="shared" si="23"/>
        <v>12</v>
      </c>
      <c r="BS35" s="263">
        <f t="shared" si="24"/>
        <v>0</v>
      </c>
      <c r="BT35" s="107">
        <f t="shared" si="45"/>
        <v>0.18</v>
      </c>
      <c r="BU35" s="264">
        <f t="shared" si="67"/>
        <v>73.936786003551816</v>
      </c>
      <c r="BV35" s="264">
        <f t="shared" si="68"/>
        <v>93.398706533526678</v>
      </c>
      <c r="BW35" s="118">
        <f t="shared" si="47"/>
        <v>0</v>
      </c>
      <c r="BX35" s="265"/>
      <c r="BY35" s="263" cm="1">
        <f t="array" ref="BY35">SUM(BJ35:BM35, -BP35:BT35,)</f>
        <v>7.2460196838886901</v>
      </c>
      <c r="BZ35" s="263">
        <f t="shared" si="53"/>
        <v>0</v>
      </c>
      <c r="CA35" s="263">
        <f t="shared" si="48"/>
        <v>0</v>
      </c>
      <c r="CB35" s="263">
        <f t="shared" si="49"/>
        <v>-79.617779912144229</v>
      </c>
      <c r="CC35" s="263">
        <f t="shared" si="50"/>
        <v>621.82729502754319</v>
      </c>
      <c r="CD35" s="263">
        <f t="shared" si="27"/>
        <v>123.23748696987337</v>
      </c>
      <c r="CE35" s="263">
        <f t="shared" si="51"/>
        <v>0</v>
      </c>
      <c r="CF35" s="263">
        <f t="shared" si="52"/>
        <v>0</v>
      </c>
      <c r="CH35" s="21"/>
    </row>
    <row r="36" spans="2:86" ht="15.75" customHeight="1" x14ac:dyDescent="0.45">
      <c r="C36" s="21" t="s">
        <v>162</v>
      </c>
      <c r="D36" s="191" t="s">
        <v>25</v>
      </c>
      <c r="E36" s="158"/>
      <c r="F36" s="159">
        <f>1-F35</f>
        <v>0.5</v>
      </c>
      <c r="V36" s="294">
        <f t="shared" si="54"/>
        <v>53052</v>
      </c>
      <c r="W36" s="366">
        <f t="shared" si="29"/>
        <v>19</v>
      </c>
      <c r="X36" s="366" t="str">
        <f t="shared" si="30"/>
        <v>維持管理・運営期間</v>
      </c>
      <c r="Y36" s="106">
        <f t="shared" si="0"/>
        <v>0</v>
      </c>
      <c r="Z36" s="107">
        <f t="shared" si="1"/>
        <v>0</v>
      </c>
      <c r="AA36" s="107">
        <f t="shared" si="2"/>
        <v>0</v>
      </c>
      <c r="AB36" s="107">
        <f t="shared" si="3"/>
        <v>0</v>
      </c>
      <c r="AC36" s="108">
        <f t="shared" si="55"/>
        <v>0</v>
      </c>
      <c r="AD36" s="106">
        <f t="shared" si="4"/>
        <v>0</v>
      </c>
      <c r="AE36" s="107">
        <f t="shared" si="5"/>
        <v>47.5</v>
      </c>
      <c r="AF36" s="107">
        <f t="shared" si="32"/>
        <v>10</v>
      </c>
      <c r="AG36" s="368">
        <f>IF(AND($W36&gt;$O$83, SUM($AA$17:AA35)&gt;0,SUM($AG$17:AG35)&lt;$O$79),$O$82,0)</f>
        <v>64.125</v>
      </c>
      <c r="AH36" s="107">
        <f>IF(SUM($AA$18:$AA35)&gt;0,($O$79-SUM($AG$18:$AG35))*$F$83,0)</f>
        <v>10.003500000000001</v>
      </c>
      <c r="AI36" s="108">
        <f t="shared" si="56"/>
        <v>131.6285</v>
      </c>
      <c r="AJ36" s="113">
        <f t="shared" si="57"/>
        <v>-131.6285</v>
      </c>
      <c r="AK36" s="115">
        <f t="shared" si="34"/>
        <v>2.037204717477179</v>
      </c>
      <c r="AL36" s="277"/>
      <c r="AM36" s="264">
        <f t="shared" si="7"/>
        <v>-65.000985368802418</v>
      </c>
      <c r="AN36" s="278"/>
      <c r="AO36" s="266">
        <f t="shared" si="8"/>
        <v>0</v>
      </c>
      <c r="AP36" s="263">
        <f t="shared" si="9"/>
        <v>0</v>
      </c>
      <c r="AQ36" s="263">
        <f t="shared" si="10"/>
        <v>0</v>
      </c>
      <c r="AR36" s="260">
        <f t="shared" si="11"/>
        <v>0</v>
      </c>
      <c r="AS36" s="261">
        <f t="shared" si="58"/>
        <v>0</v>
      </c>
      <c r="AT36" s="260">
        <f t="shared" si="12"/>
        <v>0</v>
      </c>
      <c r="AU36" s="260">
        <f t="shared" si="13"/>
        <v>89.412187603907213</v>
      </c>
      <c r="AV36" s="260">
        <f t="shared" si="14"/>
        <v>18.243304933171295</v>
      </c>
      <c r="AW36" s="260">
        <f t="shared" si="15"/>
        <v>47.5</v>
      </c>
      <c r="AX36" s="368">
        <f t="shared" si="36"/>
        <v>6</v>
      </c>
      <c r="AY36" s="260">
        <f t="shared" si="16"/>
        <v>12.18</v>
      </c>
      <c r="AZ36" s="368">
        <f>IF(AND($W36&gt;$P$83, SUM($AQ$17:AQ35)&gt;0,SUM($AZ$17:AZ35)&lt;$P$79),$P$82,0)</f>
        <v>64.125</v>
      </c>
      <c r="BA36" s="107">
        <f>IF(SUM($AQ$18:$AQ35)&gt;0,($P$79-SUM($AZ$18:$AZ35))*$F$83,0)</f>
        <v>10.003500000000001</v>
      </c>
      <c r="BB36" s="261">
        <f t="shared" si="59"/>
        <v>247.46399253707852</v>
      </c>
      <c r="BC36" s="263">
        <f t="shared" si="60"/>
        <v>-247.46399253707852</v>
      </c>
      <c r="BD36" s="264">
        <f t="shared" si="17"/>
        <v>-122.20304385606515</v>
      </c>
      <c r="BE36" s="279"/>
      <c r="BF36" s="180">
        <f t="shared" si="39"/>
        <v>0.49382151562011584</v>
      </c>
      <c r="BH36" s="266">
        <f t="shared" si="61"/>
        <v>0</v>
      </c>
      <c r="BI36" s="266">
        <f t="shared" si="62"/>
        <v>89.412187603907213</v>
      </c>
      <c r="BJ36" s="263">
        <f t="shared" si="63"/>
        <v>18.243304933171295</v>
      </c>
      <c r="BK36" s="263">
        <f t="shared" si="64"/>
        <v>47.5</v>
      </c>
      <c r="BL36" s="263">
        <f t="shared" si="65"/>
        <v>12.18</v>
      </c>
      <c r="BM36" s="260">
        <f t="shared" si="18"/>
        <v>0</v>
      </c>
      <c r="BN36" s="264">
        <f t="shared" si="66"/>
        <v>167.33549253707852</v>
      </c>
      <c r="BO36" s="263">
        <f t="shared" si="20"/>
        <v>0</v>
      </c>
      <c r="BP36" s="263">
        <f t="shared" si="21"/>
        <v>47.5</v>
      </c>
      <c r="BQ36" s="263">
        <f t="shared" si="22"/>
        <v>12.04070471747718</v>
      </c>
      <c r="BR36" s="263">
        <f t="shared" si="23"/>
        <v>12</v>
      </c>
      <c r="BS36" s="263">
        <f t="shared" si="24"/>
        <v>0</v>
      </c>
      <c r="BT36" s="107">
        <f t="shared" si="45"/>
        <v>0.18</v>
      </c>
      <c r="BU36" s="264">
        <f t="shared" si="67"/>
        <v>71.72070471747719</v>
      </c>
      <c r="BV36" s="264">
        <f t="shared" si="68"/>
        <v>95.614787819601332</v>
      </c>
      <c r="BW36" s="118">
        <f t="shared" si="47"/>
        <v>0</v>
      </c>
      <c r="BX36" s="265"/>
      <c r="BY36" s="263" cm="1">
        <f t="array" ref="BY36">SUM(BJ36:BM36, -BP36:BT36,)</f>
        <v>6.2026002156941153</v>
      </c>
      <c r="BZ36" s="263">
        <f t="shared" si="53"/>
        <v>0</v>
      </c>
      <c r="CA36" s="263">
        <f t="shared" si="48"/>
        <v>0</v>
      </c>
      <c r="CB36" s="263">
        <f t="shared" si="49"/>
        <v>-81.83386119821887</v>
      </c>
      <c r="CC36" s="263">
        <f t="shared" si="50"/>
        <v>546.19603404501845</v>
      </c>
      <c r="CD36" s="263">
        <f t="shared" si="27"/>
        <v>129.44008718556748</v>
      </c>
      <c r="CE36" s="263">
        <f t="shared" si="51"/>
        <v>0</v>
      </c>
      <c r="CF36" s="263">
        <f t="shared" si="52"/>
        <v>0</v>
      </c>
      <c r="CH36" s="21"/>
    </row>
    <row r="37" spans="2:86" ht="15.75" customHeight="1" x14ac:dyDescent="0.45">
      <c r="E37" s="498"/>
      <c r="V37" s="294">
        <f t="shared" ref="V37:V47" si="69">IF(W37=1,DATE(YEAR($F$20)+(MONTH($F$20)&gt;=4),4,0),EOMONTH(V36,12))</f>
        <v>53417</v>
      </c>
      <c r="W37" s="366">
        <f t="shared" si="29"/>
        <v>20</v>
      </c>
      <c r="X37" s="366" t="str">
        <f t="shared" si="30"/>
        <v>維持管理・運営期間</v>
      </c>
      <c r="Y37" s="106">
        <f t="shared" si="0"/>
        <v>0</v>
      </c>
      <c r="Z37" s="107">
        <f t="shared" si="1"/>
        <v>0</v>
      </c>
      <c r="AA37" s="107">
        <f t="shared" si="2"/>
        <v>0</v>
      </c>
      <c r="AB37" s="107">
        <f t="shared" si="3"/>
        <v>0</v>
      </c>
      <c r="AC37" s="108">
        <f t="shared" ref="AC37:AC47" si="70">SUM(Y37:AB37)</f>
        <v>0</v>
      </c>
      <c r="AD37" s="106">
        <f t="shared" ref="AD37:AD47" si="71">IF($W37=$F$18,$O$33,0)</f>
        <v>0</v>
      </c>
      <c r="AE37" s="107">
        <f t="shared" si="5"/>
        <v>47.5</v>
      </c>
      <c r="AF37" s="107">
        <f t="shared" si="32"/>
        <v>10</v>
      </c>
      <c r="AG37" s="368">
        <f>IF(AND($W37&gt;$O$83, SUM($AA$17:AA36)&gt;0,SUM($AG$17:AG36)&lt;$O$79),$O$82,0)</f>
        <v>64.125</v>
      </c>
      <c r="AH37" s="107">
        <f>IF(SUM($AA$18:$AA36)&gt;0,($O$79-SUM($AG$18:$AG36))*$F$83,0)</f>
        <v>8.7530625000000004</v>
      </c>
      <c r="AI37" s="108">
        <f t="shared" ref="AI37:AI47" si="72">SUM(AD37:AH37)</f>
        <v>130.3780625</v>
      </c>
      <c r="AJ37" s="113">
        <f t="shared" ref="AJ37:AJ47" si="73">AC37-AI37</f>
        <v>-130.3780625</v>
      </c>
      <c r="AK37" s="115">
        <f t="shared" si="34"/>
        <v>1.0098785248859574</v>
      </c>
      <c r="AL37" s="277"/>
      <c r="AM37" s="264">
        <f t="shared" ref="AM37:AM47" si="74">AJ37*$BF37</f>
        <v>-62.036407004746607</v>
      </c>
      <c r="AN37" s="278"/>
      <c r="AO37" s="266">
        <f t="shared" si="8"/>
        <v>0</v>
      </c>
      <c r="AP37" s="263">
        <f t="shared" si="9"/>
        <v>0</v>
      </c>
      <c r="AQ37" s="263">
        <f t="shared" si="10"/>
        <v>0</v>
      </c>
      <c r="AR37" s="260">
        <f t="shared" si="11"/>
        <v>0</v>
      </c>
      <c r="AS37" s="261">
        <f t="shared" ref="AS37:AS47" si="75">SUM(AO37:AR37)</f>
        <v>0</v>
      </c>
      <c r="AT37" s="260">
        <f t="shared" ref="AT37:AT47" si="76">IF(W37=$F$18,$P$33,0)</f>
        <v>0</v>
      </c>
      <c r="AU37" s="260">
        <f t="shared" si="13"/>
        <v>92.795008309713438</v>
      </c>
      <c r="AV37" s="260">
        <f t="shared" si="14"/>
        <v>14.86048422736507</v>
      </c>
      <c r="AW37" s="260">
        <f t="shared" si="15"/>
        <v>47.5</v>
      </c>
      <c r="AX37" s="368">
        <f t="shared" si="36"/>
        <v>6</v>
      </c>
      <c r="AY37" s="260">
        <f t="shared" si="16"/>
        <v>12.18</v>
      </c>
      <c r="AZ37" s="368">
        <f>IF(AND($W37&gt;$P$83, SUM($AQ$17:AQ36)&gt;0,SUM($AZ$17:AZ36)&lt;$P$79),$P$82,0)</f>
        <v>64.125</v>
      </c>
      <c r="BA37" s="107">
        <f>IF(SUM($AQ$18:$AQ36)&gt;0,($P$79-SUM($AZ$18:$AZ36))*$F$83,0)</f>
        <v>8.7530625000000004</v>
      </c>
      <c r="BB37" s="261">
        <f t="shared" ref="BB37:BB47" si="77">SUM(AT37:BA37)</f>
        <v>246.21355503707852</v>
      </c>
      <c r="BC37" s="263">
        <f t="shared" ref="BC37:BC47" si="78">AS37-BB37</f>
        <v>-246.21355503707852</v>
      </c>
      <c r="BD37" s="264">
        <f t="shared" ref="BD37:BD47" si="79">BC37*$BF37</f>
        <v>-117.15317759355247</v>
      </c>
      <c r="BE37" s="279"/>
      <c r="BF37" s="180">
        <f t="shared" ref="BF37:BF47" si="80">BF36/(1+$O$25)</f>
        <v>0.4758193657368287</v>
      </c>
      <c r="BH37" s="266">
        <f t="shared" ref="BH37:BH47" si="81">AT37</f>
        <v>0</v>
      </c>
      <c r="BI37" s="266">
        <f t="shared" ref="BI37:BI47" si="82">AU37</f>
        <v>92.795008309713438</v>
      </c>
      <c r="BJ37" s="263">
        <f t="shared" ref="BJ37:BJ47" si="83">AV37</f>
        <v>14.86048422736507</v>
      </c>
      <c r="BK37" s="263">
        <f t="shared" ref="BK37:BK47" si="84">AW37</f>
        <v>47.5</v>
      </c>
      <c r="BL37" s="263">
        <f t="shared" ref="BL37:BL47" si="85">AY37</f>
        <v>12.18</v>
      </c>
      <c r="BM37" s="260">
        <f t="shared" si="18"/>
        <v>0</v>
      </c>
      <c r="BN37" s="264">
        <f t="shared" ref="BN37:BN47" si="86">SUM(BH37:BM37)</f>
        <v>167.33549253707852</v>
      </c>
      <c r="BO37" s="263">
        <f t="shared" ref="BO37:BO47" si="87">IF($W37=$F$18,$P$35,0)</f>
        <v>0</v>
      </c>
      <c r="BP37" s="263">
        <f t="shared" si="21"/>
        <v>47.5</v>
      </c>
      <c r="BQ37" s="263">
        <f t="shared" si="22"/>
        <v>9.7629410248859578</v>
      </c>
      <c r="BR37" s="263">
        <f t="shared" si="23"/>
        <v>12</v>
      </c>
      <c r="BS37" s="263">
        <f t="shared" si="24"/>
        <v>0</v>
      </c>
      <c r="BT37" s="107">
        <f t="shared" si="45"/>
        <v>0.18</v>
      </c>
      <c r="BU37" s="264">
        <f t="shared" ref="BU37:BU47" si="88">SUM(BO37:BT37)</f>
        <v>69.442941024885968</v>
      </c>
      <c r="BV37" s="264">
        <f t="shared" ref="BV37:BV47" si="89">BN37-BU37</f>
        <v>97.892551512192554</v>
      </c>
      <c r="BW37" s="118">
        <f t="shared" si="47"/>
        <v>0</v>
      </c>
      <c r="BX37" s="265"/>
      <c r="BY37" s="263" cm="1">
        <f t="array" ref="BY37">SUM(BJ37:BM37, -BP37:BT37,)</f>
        <v>5.0975432024791125</v>
      </c>
      <c r="BZ37" s="263">
        <f t="shared" si="53"/>
        <v>0</v>
      </c>
      <c r="CA37" s="263">
        <f t="shared" si="48"/>
        <v>0</v>
      </c>
      <c r="CB37" s="263">
        <f t="shared" si="49"/>
        <v>-84.111624890810077</v>
      </c>
      <c r="CC37" s="263">
        <f t="shared" si="50"/>
        <v>467.18195235668748</v>
      </c>
      <c r="CD37" s="263">
        <f t="shared" si="27"/>
        <v>134.53763038804658</v>
      </c>
      <c r="CE37" s="263">
        <f t="shared" si="51"/>
        <v>0</v>
      </c>
      <c r="CF37" s="263">
        <f t="shared" si="52"/>
        <v>0</v>
      </c>
      <c r="CH37" s="21"/>
    </row>
    <row r="38" spans="2:86" ht="15.75" customHeight="1" x14ac:dyDescent="0.3">
      <c r="E38" s="123"/>
      <c r="F38" s="123"/>
      <c r="V38" s="294">
        <f t="shared" si="69"/>
        <v>53782</v>
      </c>
      <c r="W38" s="366">
        <f t="shared" si="29"/>
        <v>21</v>
      </c>
      <c r="X38" s="366" t="str">
        <f t="shared" si="30"/>
        <v>維持管理・運営期間</v>
      </c>
      <c r="Y38" s="106">
        <f t="shared" si="0"/>
        <v>0</v>
      </c>
      <c r="Z38" s="107">
        <f t="shared" si="1"/>
        <v>0</v>
      </c>
      <c r="AA38" s="107">
        <f t="shared" si="2"/>
        <v>0</v>
      </c>
      <c r="AB38" s="107">
        <f t="shared" si="3"/>
        <v>0</v>
      </c>
      <c r="AC38" s="108">
        <f t="shared" si="70"/>
        <v>0</v>
      </c>
      <c r="AD38" s="106">
        <f t="shared" si="71"/>
        <v>0</v>
      </c>
      <c r="AE38" s="107">
        <f t="shared" si="5"/>
        <v>47.5</v>
      </c>
      <c r="AF38" s="107">
        <f t="shared" si="32"/>
        <v>10</v>
      </c>
      <c r="AG38" s="368">
        <f>IF(AND($W38&gt;$O$83, SUM($AA$17:AA37)&gt;0,SUM($AG$17:AG37)&lt;$O$79),$O$82,0)</f>
        <v>64.125</v>
      </c>
      <c r="AH38" s="107">
        <f>IF(SUM($AA$18:$AA37)&gt;0,($O$79-SUM($AG$18:$AG37))*$F$83,0)</f>
        <v>7.5026250000000001</v>
      </c>
      <c r="AI38" s="108">
        <f t="shared" si="72"/>
        <v>129.12762499999999</v>
      </c>
      <c r="AJ38" s="113">
        <f t="shared" si="73"/>
        <v>-129.12762499999999</v>
      </c>
      <c r="AK38" s="115">
        <f t="shared" si="34"/>
        <v>0</v>
      </c>
      <c r="AL38" s="277"/>
      <c r="AM38" s="264">
        <f t="shared" si="74"/>
        <v>-59.201591609643799</v>
      </c>
      <c r="AN38" s="278"/>
      <c r="AO38" s="266">
        <f t="shared" si="8"/>
        <v>0</v>
      </c>
      <c r="AP38" s="263">
        <f t="shared" si="9"/>
        <v>0</v>
      </c>
      <c r="AQ38" s="263">
        <f t="shared" si="10"/>
        <v>0</v>
      </c>
      <c r="AR38" s="260">
        <f t="shared" si="11"/>
        <v>0</v>
      </c>
      <c r="AS38" s="261">
        <f t="shared" si="75"/>
        <v>0</v>
      </c>
      <c r="AT38" s="260">
        <f t="shared" si="76"/>
        <v>0</v>
      </c>
      <c r="AU38" s="260">
        <f t="shared" si="13"/>
        <v>96.305814654103131</v>
      </c>
      <c r="AV38" s="260">
        <f t="shared" si="14"/>
        <v>11.349677882975371</v>
      </c>
      <c r="AW38" s="260">
        <f t="shared" si="15"/>
        <v>47.5</v>
      </c>
      <c r="AX38" s="368">
        <f t="shared" si="36"/>
        <v>6</v>
      </c>
      <c r="AY38" s="260">
        <f t="shared" si="16"/>
        <v>12.18</v>
      </c>
      <c r="AZ38" s="368">
        <f>IF(AND($W38&gt;$P$83, SUM($AQ$17:AQ37)&gt;0,SUM($AZ$17:AZ37)&lt;$P$79),$P$82,0)</f>
        <v>64.125</v>
      </c>
      <c r="BA38" s="107">
        <f>IF(SUM($AQ$18:$AQ37)&gt;0,($P$79-SUM($AZ$18:$AZ37))*$F$83,0)</f>
        <v>7.5026250000000001</v>
      </c>
      <c r="BB38" s="261">
        <f t="shared" si="77"/>
        <v>244.96311753707849</v>
      </c>
      <c r="BC38" s="263">
        <f t="shared" si="78"/>
        <v>-244.96311753707849</v>
      </c>
      <c r="BD38" s="264">
        <f t="shared" si="79"/>
        <v>-112.30909299118058</v>
      </c>
      <c r="BE38" s="279"/>
      <c r="BF38" s="180">
        <f t="shared" si="80"/>
        <v>0.45847348009106342</v>
      </c>
      <c r="BH38" s="266">
        <f t="shared" si="81"/>
        <v>0</v>
      </c>
      <c r="BI38" s="266">
        <f t="shared" si="82"/>
        <v>96.305814654103131</v>
      </c>
      <c r="BJ38" s="263">
        <f t="shared" si="83"/>
        <v>11.349677882975371</v>
      </c>
      <c r="BK38" s="263">
        <f t="shared" si="84"/>
        <v>47.5</v>
      </c>
      <c r="BL38" s="263">
        <f t="shared" si="85"/>
        <v>12.18</v>
      </c>
      <c r="BM38" s="260">
        <f t="shared" si="18"/>
        <v>0</v>
      </c>
      <c r="BN38" s="264">
        <f t="shared" si="86"/>
        <v>167.33549253707849</v>
      </c>
      <c r="BO38" s="263">
        <f t="shared" si="87"/>
        <v>0</v>
      </c>
      <c r="BP38" s="263">
        <f t="shared" si="21"/>
        <v>47.5</v>
      </c>
      <c r="BQ38" s="263">
        <f t="shared" si="22"/>
        <v>7.4217780576751498</v>
      </c>
      <c r="BR38" s="263">
        <f t="shared" si="23"/>
        <v>12</v>
      </c>
      <c r="BS38" s="263">
        <f t="shared" si="24"/>
        <v>0</v>
      </c>
      <c r="BT38" s="107">
        <f t="shared" si="45"/>
        <v>0.18</v>
      </c>
      <c r="BU38" s="264">
        <f t="shared" si="88"/>
        <v>67.101778057675148</v>
      </c>
      <c r="BV38" s="264">
        <f t="shared" si="89"/>
        <v>100.23371447940335</v>
      </c>
      <c r="BW38" s="118">
        <f t="shared" si="47"/>
        <v>0</v>
      </c>
      <c r="BX38" s="265"/>
      <c r="BY38" s="263" cm="1">
        <f t="array" ref="BY38">SUM(BJ38:BM38, -BP38:BT38,)</f>
        <v>3.9278998253002153</v>
      </c>
      <c r="BZ38" s="263">
        <f t="shared" si="53"/>
        <v>0</v>
      </c>
      <c r="CA38" s="263">
        <f t="shared" si="48"/>
        <v>0</v>
      </c>
      <c r="CB38" s="263">
        <f t="shared" si="49"/>
        <v>-86.452787858020898</v>
      </c>
      <c r="CC38" s="263">
        <f t="shared" si="50"/>
        <v>384.65706432396678</v>
      </c>
      <c r="CD38" s="263">
        <f t="shared" si="27"/>
        <v>138.4655302133468</v>
      </c>
      <c r="CE38" s="263">
        <f t="shared" si="51"/>
        <v>0</v>
      </c>
      <c r="CF38" s="263">
        <f t="shared" si="52"/>
        <v>0</v>
      </c>
      <c r="CH38" s="21"/>
    </row>
    <row r="39" spans="2:86" ht="15.75" customHeight="1" x14ac:dyDescent="0.3">
      <c r="B39" s="226" t="s">
        <v>163</v>
      </c>
      <c r="D39" s="21"/>
      <c r="J39" s="226" t="s">
        <v>163</v>
      </c>
      <c r="O39" s="21" t="s">
        <v>55</v>
      </c>
      <c r="P39" s="21" t="s">
        <v>98</v>
      </c>
      <c r="V39" s="294">
        <f t="shared" si="69"/>
        <v>54148</v>
      </c>
      <c r="W39" s="366">
        <f t="shared" si="29"/>
        <v>22</v>
      </c>
      <c r="X39" s="366" t="str">
        <f t="shared" si="30"/>
        <v>維持管理・運営期間</v>
      </c>
      <c r="Y39" s="106">
        <f t="shared" si="0"/>
        <v>0</v>
      </c>
      <c r="Z39" s="107">
        <f t="shared" si="1"/>
        <v>0</v>
      </c>
      <c r="AA39" s="107">
        <f t="shared" si="2"/>
        <v>0</v>
      </c>
      <c r="AB39" s="107">
        <f t="shared" si="3"/>
        <v>0</v>
      </c>
      <c r="AC39" s="108">
        <f t="shared" si="70"/>
        <v>0</v>
      </c>
      <c r="AD39" s="106">
        <f t="shared" si="71"/>
        <v>0</v>
      </c>
      <c r="AE39" s="107">
        <f t="shared" si="5"/>
        <v>47.5</v>
      </c>
      <c r="AF39" s="107">
        <f t="shared" si="32"/>
        <v>10</v>
      </c>
      <c r="AG39" s="368">
        <f>IF(AND($W39&gt;$O$83, SUM($AA$17:AA38)&gt;0,SUM($AG$17:AG38)&lt;$O$79),$O$82,0)</f>
        <v>64.125</v>
      </c>
      <c r="AH39" s="107">
        <f>IF(SUM($AA$18:$AA38)&gt;0,($O$79-SUM($AG$18:$AG38))*$F$83,0)</f>
        <v>6.2521874999999998</v>
      </c>
      <c r="AI39" s="108">
        <f t="shared" si="72"/>
        <v>127.87718750000001</v>
      </c>
      <c r="AJ39" s="113">
        <f t="shared" si="73"/>
        <v>-127.87718750000001</v>
      </c>
      <c r="AK39" s="115">
        <f t="shared" si="34"/>
        <v>0</v>
      </c>
      <c r="AL39" s="277"/>
      <c r="AM39" s="264">
        <f t="shared" si="74"/>
        <v>-56.491018002284022</v>
      </c>
      <c r="AN39" s="278"/>
      <c r="AO39" s="266">
        <f t="shared" si="8"/>
        <v>0</v>
      </c>
      <c r="AP39" s="263">
        <f t="shared" si="9"/>
        <v>0</v>
      </c>
      <c r="AQ39" s="263">
        <f t="shared" si="10"/>
        <v>0</v>
      </c>
      <c r="AR39" s="260">
        <f t="shared" si="11"/>
        <v>0</v>
      </c>
      <c r="AS39" s="261">
        <f t="shared" si="75"/>
        <v>0</v>
      </c>
      <c r="AT39" s="260">
        <f t="shared" si="76"/>
        <v>0</v>
      </c>
      <c r="AU39" s="260">
        <f t="shared" si="13"/>
        <v>99.949448845726465</v>
      </c>
      <c r="AV39" s="260">
        <f t="shared" si="14"/>
        <v>7.7060436913520354</v>
      </c>
      <c r="AW39" s="260">
        <f t="shared" si="15"/>
        <v>47.5</v>
      </c>
      <c r="AX39" s="368">
        <f t="shared" si="36"/>
        <v>6</v>
      </c>
      <c r="AY39" s="260">
        <f t="shared" si="16"/>
        <v>12.18</v>
      </c>
      <c r="AZ39" s="368">
        <f>IF(AND($W39&gt;$P$83, SUM($AQ$17:AQ38)&gt;0,SUM($AZ$17:AZ38)&lt;$P$79),$P$82,0)</f>
        <v>64.125</v>
      </c>
      <c r="BA39" s="107">
        <f>IF(SUM($AQ$18:$AQ38)&gt;0,($P$79-SUM($AZ$18:$AZ38))*$F$83,0)</f>
        <v>6.2521874999999998</v>
      </c>
      <c r="BB39" s="261">
        <f t="shared" si="77"/>
        <v>243.71268003707848</v>
      </c>
      <c r="BC39" s="263">
        <f t="shared" si="78"/>
        <v>-243.71268003707848</v>
      </c>
      <c r="BD39" s="264">
        <f t="shared" si="79"/>
        <v>-107.66249762381963</v>
      </c>
      <c r="BE39" s="279"/>
      <c r="BF39" s="180">
        <f t="shared" si="80"/>
        <v>0.44175993472083536</v>
      </c>
      <c r="BH39" s="266">
        <f t="shared" si="81"/>
        <v>0</v>
      </c>
      <c r="BI39" s="266">
        <f t="shared" si="82"/>
        <v>99.949448845726465</v>
      </c>
      <c r="BJ39" s="263">
        <f t="shared" si="83"/>
        <v>7.7060436913520354</v>
      </c>
      <c r="BK39" s="263">
        <f t="shared" si="84"/>
        <v>47.5</v>
      </c>
      <c r="BL39" s="263">
        <f t="shared" si="85"/>
        <v>12.18</v>
      </c>
      <c r="BM39" s="260">
        <f t="shared" si="18"/>
        <v>0</v>
      </c>
      <c r="BN39" s="264">
        <f t="shared" si="86"/>
        <v>167.33549253707849</v>
      </c>
      <c r="BO39" s="263">
        <f t="shared" si="87"/>
        <v>0</v>
      </c>
      <c r="BP39" s="263">
        <f t="shared" si="21"/>
        <v>47.5</v>
      </c>
      <c r="BQ39" s="263">
        <f t="shared" si="22"/>
        <v>5.0154511604349974</v>
      </c>
      <c r="BR39" s="263">
        <f t="shared" si="23"/>
        <v>12</v>
      </c>
      <c r="BS39" s="263">
        <f t="shared" si="24"/>
        <v>0</v>
      </c>
      <c r="BT39" s="107">
        <f t="shared" si="45"/>
        <v>0.18</v>
      </c>
      <c r="BU39" s="264">
        <f t="shared" si="88"/>
        <v>64.695451160434999</v>
      </c>
      <c r="BV39" s="264">
        <f t="shared" si="89"/>
        <v>102.6400413766435</v>
      </c>
      <c r="BW39" s="118">
        <f t="shared" si="47"/>
        <v>0</v>
      </c>
      <c r="BX39" s="265"/>
      <c r="BY39" s="263" cm="1">
        <f t="array" ref="BY39">SUM(BJ39:BM39, -BP39:BT39,)</f>
        <v>2.6905925309170313</v>
      </c>
      <c r="BZ39" s="263">
        <f t="shared" si="53"/>
        <v>0</v>
      </c>
      <c r="CA39" s="263">
        <f t="shared" si="48"/>
        <v>0</v>
      </c>
      <c r="CB39" s="263">
        <f t="shared" si="49"/>
        <v>-88.859114755261032</v>
      </c>
      <c r="CC39" s="263">
        <f t="shared" si="50"/>
        <v>298.4885420996228</v>
      </c>
      <c r="CD39" s="263">
        <f t="shared" si="27"/>
        <v>141.15612274426383</v>
      </c>
      <c r="CE39" s="263">
        <f t="shared" si="51"/>
        <v>0</v>
      </c>
      <c r="CF39" s="263">
        <f t="shared" si="52"/>
        <v>0</v>
      </c>
      <c r="CH39" s="21"/>
    </row>
    <row r="40" spans="2:86" ht="15.75" customHeight="1" x14ac:dyDescent="0.45">
      <c r="B40" s="119"/>
      <c r="C40" s="21" t="s">
        <v>164</v>
      </c>
      <c r="D40" s="191" t="s">
        <v>25</v>
      </c>
      <c r="F40" s="314">
        <f>F88</f>
        <v>1.7833999999999999E-2</v>
      </c>
      <c r="K40" s="119" t="s">
        <v>165</v>
      </c>
      <c r="N40" s="191" t="s">
        <v>25</v>
      </c>
      <c r="O40" s="169"/>
      <c r="P40" s="121">
        <f>SUM(F40:F42)</f>
        <v>3.7834E-2</v>
      </c>
      <c r="V40" s="294">
        <f t="shared" si="69"/>
        <v>54513</v>
      </c>
      <c r="W40" s="366">
        <f t="shared" si="29"/>
        <v>23</v>
      </c>
      <c r="X40" s="366" t="str">
        <f t="shared" si="30"/>
        <v>維持管理・運営期間</v>
      </c>
      <c r="Y40" s="106">
        <f t="shared" si="0"/>
        <v>0</v>
      </c>
      <c r="Z40" s="107">
        <f t="shared" si="1"/>
        <v>0</v>
      </c>
      <c r="AA40" s="107">
        <f t="shared" si="2"/>
        <v>0</v>
      </c>
      <c r="AB40" s="107">
        <f t="shared" si="3"/>
        <v>0</v>
      </c>
      <c r="AC40" s="108">
        <f t="shared" si="70"/>
        <v>0</v>
      </c>
      <c r="AD40" s="106">
        <f t="shared" si="71"/>
        <v>0</v>
      </c>
      <c r="AE40" s="107">
        <f t="shared" si="5"/>
        <v>47.5</v>
      </c>
      <c r="AF40" s="107">
        <f t="shared" si="32"/>
        <v>10</v>
      </c>
      <c r="AG40" s="368">
        <f>IF(AND($W40&gt;$O$83, SUM($AA$17:AA39)&gt;0,SUM($AG$17:AG39)&lt;$O$79),$O$82,0)</f>
        <v>64.125</v>
      </c>
      <c r="AH40" s="107">
        <f>IF(SUM($AA$18:$AA39)&gt;0,($O$79-SUM($AG$18:$AG39))*$F$83,0)</f>
        <v>5.0017500000000004</v>
      </c>
      <c r="AI40" s="108">
        <f t="shared" si="72"/>
        <v>126.62675</v>
      </c>
      <c r="AJ40" s="113">
        <f t="shared" si="73"/>
        <v>-126.62675</v>
      </c>
      <c r="AK40" s="115">
        <f t="shared" si="34"/>
        <v>0</v>
      </c>
      <c r="AL40" s="277"/>
      <c r="AM40" s="264">
        <f t="shared" si="74"/>
        <v>-53.899395099709146</v>
      </c>
      <c r="AN40" s="278"/>
      <c r="AO40" s="266">
        <f t="shared" si="8"/>
        <v>0</v>
      </c>
      <c r="AP40" s="263">
        <f t="shared" si="9"/>
        <v>0</v>
      </c>
      <c r="AQ40" s="263">
        <f t="shared" si="10"/>
        <v>0</v>
      </c>
      <c r="AR40" s="260">
        <f t="shared" si="11"/>
        <v>0</v>
      </c>
      <c r="AS40" s="261">
        <f t="shared" si="75"/>
        <v>0</v>
      </c>
      <c r="AT40" s="260">
        <f t="shared" si="76"/>
        <v>0</v>
      </c>
      <c r="AU40" s="260">
        <f t="shared" si="13"/>
        <v>103.73093629335568</v>
      </c>
      <c r="AV40" s="260">
        <f t="shared" si="14"/>
        <v>3.9245562437228192</v>
      </c>
      <c r="AW40" s="260">
        <f t="shared" si="15"/>
        <v>47.5</v>
      </c>
      <c r="AX40" s="368">
        <f t="shared" si="36"/>
        <v>6</v>
      </c>
      <c r="AY40" s="260">
        <f t="shared" si="16"/>
        <v>12.18</v>
      </c>
      <c r="AZ40" s="368">
        <f>IF(AND($W40&gt;$P$83, SUM($AQ$17:AQ39)&gt;0,SUM($AZ$17:AZ39)&lt;$P$79),$P$82,0)</f>
        <v>64.125</v>
      </c>
      <c r="BA40" s="107">
        <f>IF(SUM($AQ$18:$AQ39)&gt;0,($P$79-SUM($AZ$18:$AZ39))*$F$83,0)</f>
        <v>5.0017500000000004</v>
      </c>
      <c r="BB40" s="261">
        <f t="shared" si="77"/>
        <v>242.46224253707848</v>
      </c>
      <c r="BC40" s="263">
        <f t="shared" si="78"/>
        <v>-242.46224253707848</v>
      </c>
      <c r="BD40" s="264">
        <f t="shared" si="79"/>
        <v>-103.20543018965186</v>
      </c>
      <c r="BE40" s="279"/>
      <c r="BF40" s="180">
        <f t="shared" si="80"/>
        <v>0.42565567780669683</v>
      </c>
      <c r="BH40" s="266">
        <f t="shared" si="81"/>
        <v>0</v>
      </c>
      <c r="BI40" s="266">
        <f t="shared" si="82"/>
        <v>103.73093629335568</v>
      </c>
      <c r="BJ40" s="263">
        <f t="shared" si="83"/>
        <v>3.9245562437228192</v>
      </c>
      <c r="BK40" s="263">
        <f t="shared" si="84"/>
        <v>47.5</v>
      </c>
      <c r="BL40" s="263">
        <f t="shared" si="85"/>
        <v>12.18</v>
      </c>
      <c r="BM40" s="260">
        <f t="shared" si="18"/>
        <v>0</v>
      </c>
      <c r="BN40" s="264">
        <f t="shared" si="86"/>
        <v>167.33549253707849</v>
      </c>
      <c r="BO40" s="263">
        <f t="shared" si="87"/>
        <v>0</v>
      </c>
      <c r="BP40" s="263">
        <f t="shared" si="21"/>
        <v>47.5</v>
      </c>
      <c r="BQ40" s="263">
        <f t="shared" si="22"/>
        <v>2.5421465603370614</v>
      </c>
      <c r="BR40" s="263">
        <f t="shared" si="23"/>
        <v>12</v>
      </c>
      <c r="BS40" s="263">
        <f t="shared" si="24"/>
        <v>0</v>
      </c>
      <c r="BT40" s="107">
        <f t="shared" si="45"/>
        <v>0.18</v>
      </c>
      <c r="BU40" s="264">
        <f t="shared" si="88"/>
        <v>62.222146560337059</v>
      </c>
      <c r="BV40" s="264">
        <f t="shared" si="89"/>
        <v>105.11334597674144</v>
      </c>
      <c r="BW40" s="118">
        <f t="shared" si="47"/>
        <v>0</v>
      </c>
      <c r="BX40" s="265"/>
      <c r="BY40" s="263" cm="1">
        <f t="array" ref="BY40">SUM(BJ40:BM40, -BP40:BT40,)</f>
        <v>1.3824096833857575</v>
      </c>
      <c r="BZ40" s="263">
        <f t="shared" si="53"/>
        <v>-66</v>
      </c>
      <c r="CA40" s="263">
        <f t="shared" si="48"/>
        <v>0</v>
      </c>
      <c r="CB40" s="263">
        <f t="shared" si="49"/>
        <v>-91.332419355358979</v>
      </c>
      <c r="CC40" s="263">
        <f t="shared" si="50"/>
        <v>142.53853242764956</v>
      </c>
      <c r="CD40" s="263">
        <f t="shared" si="27"/>
        <v>142.53853242764959</v>
      </c>
      <c r="CE40" s="263">
        <f t="shared" si="51"/>
        <v>-142.53853242764956</v>
      </c>
      <c r="CF40" s="263">
        <f t="shared" si="52"/>
        <v>208.53853242764956</v>
      </c>
      <c r="CH40" s="21"/>
    </row>
    <row r="41" spans="2:86" ht="15.75" customHeight="1" x14ac:dyDescent="0.45">
      <c r="C41" s="21" t="s">
        <v>166</v>
      </c>
      <c r="D41" s="191" t="s">
        <v>25</v>
      </c>
      <c r="F41" s="314">
        <f>F89</f>
        <v>0.01</v>
      </c>
      <c r="N41" s="21"/>
      <c r="V41" s="294">
        <f t="shared" si="69"/>
        <v>54878</v>
      </c>
      <c r="W41" s="366">
        <f t="shared" si="29"/>
        <v>24</v>
      </c>
      <c r="X41" s="366" t="str">
        <f t="shared" si="30"/>
        <v>-</v>
      </c>
      <c r="Y41" s="106">
        <f t="shared" si="0"/>
        <v>0</v>
      </c>
      <c r="Z41" s="107">
        <f t="shared" si="1"/>
        <v>0</v>
      </c>
      <c r="AA41" s="107">
        <f t="shared" si="2"/>
        <v>0</v>
      </c>
      <c r="AB41" s="107">
        <f t="shared" si="3"/>
        <v>0</v>
      </c>
      <c r="AC41" s="108">
        <f t="shared" si="70"/>
        <v>0</v>
      </c>
      <c r="AD41" s="106">
        <f t="shared" si="71"/>
        <v>0</v>
      </c>
      <c r="AE41" s="107">
        <f t="shared" si="5"/>
        <v>0</v>
      </c>
      <c r="AF41" s="107">
        <f t="shared" si="32"/>
        <v>0</v>
      </c>
      <c r="AG41" s="368">
        <f>IF(AND($W41&gt;$O$83, SUM($AA$17:AA40)&gt;0,SUM($AG$17:AG40)&lt;$O$79),$O$82,0)</f>
        <v>64.125</v>
      </c>
      <c r="AH41" s="107">
        <f>IF(SUM($AA$18:$AA40)&gt;0,($O$79-SUM($AG$18:$AG40))*$F$83,0)</f>
        <v>3.7513125</v>
      </c>
      <c r="AI41" s="108">
        <f t="shared" si="72"/>
        <v>67.876312499999997</v>
      </c>
      <c r="AJ41" s="113">
        <f t="shared" si="73"/>
        <v>-67.876312499999997</v>
      </c>
      <c r="AK41" s="115">
        <f t="shared" si="34"/>
        <v>0</v>
      </c>
      <c r="AL41" s="277"/>
      <c r="AM41" s="264">
        <f t="shared" si="74"/>
        <v>-27.838688850246445</v>
      </c>
      <c r="AN41" s="278"/>
      <c r="AO41" s="266">
        <f t="shared" si="8"/>
        <v>0</v>
      </c>
      <c r="AP41" s="263">
        <f t="shared" si="9"/>
        <v>0</v>
      </c>
      <c r="AQ41" s="263">
        <f t="shared" si="10"/>
        <v>0</v>
      </c>
      <c r="AR41" s="260">
        <f t="shared" si="11"/>
        <v>0</v>
      </c>
      <c r="AS41" s="261">
        <f t="shared" si="75"/>
        <v>0</v>
      </c>
      <c r="AT41" s="260">
        <f t="shared" si="76"/>
        <v>0</v>
      </c>
      <c r="AU41" s="260">
        <f t="shared" si="13"/>
        <v>0</v>
      </c>
      <c r="AV41" s="260">
        <f t="shared" si="14"/>
        <v>0</v>
      </c>
      <c r="AW41" s="260">
        <f t="shared" si="15"/>
        <v>0</v>
      </c>
      <c r="AX41" s="368">
        <f t="shared" si="36"/>
        <v>0</v>
      </c>
      <c r="AY41" s="260">
        <f t="shared" si="16"/>
        <v>0</v>
      </c>
      <c r="AZ41" s="368">
        <f>IF(AND($W41&gt;$P$83, SUM($AQ$17:AQ40)&gt;0,SUM($AZ$17:AZ40)&lt;$P$79),$P$82,0)</f>
        <v>64.125</v>
      </c>
      <c r="BA41" s="107">
        <f>IF(SUM($AQ$18:$AQ40)&gt;0,($P$79-SUM($AZ$18:$AZ40))*$F$83,0)</f>
        <v>3.7513125</v>
      </c>
      <c r="BB41" s="261">
        <f t="shared" si="77"/>
        <v>67.876312499999997</v>
      </c>
      <c r="BC41" s="263">
        <f t="shared" si="78"/>
        <v>-67.876312499999997</v>
      </c>
      <c r="BD41" s="264">
        <f t="shared" si="79"/>
        <v>-27.838688850246445</v>
      </c>
      <c r="BE41" s="279"/>
      <c r="BF41" s="180">
        <f t="shared" si="80"/>
        <v>0.41013849787798129</v>
      </c>
      <c r="BH41" s="266">
        <f t="shared" si="81"/>
        <v>0</v>
      </c>
      <c r="BI41" s="266">
        <f t="shared" si="82"/>
        <v>0</v>
      </c>
      <c r="BJ41" s="263">
        <f t="shared" si="83"/>
        <v>0</v>
      </c>
      <c r="BK41" s="263">
        <f t="shared" si="84"/>
        <v>0</v>
      </c>
      <c r="BL41" s="263">
        <f t="shared" si="85"/>
        <v>0</v>
      </c>
      <c r="BM41" s="260">
        <f t="shared" si="18"/>
        <v>0</v>
      </c>
      <c r="BN41" s="264">
        <f t="shared" si="86"/>
        <v>0</v>
      </c>
      <c r="BO41" s="263">
        <f t="shared" si="87"/>
        <v>0</v>
      </c>
      <c r="BP41" s="263">
        <f t="shared" si="21"/>
        <v>0</v>
      </c>
      <c r="BQ41" s="263">
        <f t="shared" si="22"/>
        <v>0</v>
      </c>
      <c r="BR41" s="263">
        <f t="shared" si="23"/>
        <v>0</v>
      </c>
      <c r="BS41" s="263">
        <f t="shared" si="24"/>
        <v>0</v>
      </c>
      <c r="BT41" s="107">
        <f t="shared" si="45"/>
        <v>0</v>
      </c>
      <c r="BU41" s="264">
        <f t="shared" si="88"/>
        <v>0</v>
      </c>
      <c r="BV41" s="264">
        <f t="shared" si="89"/>
        <v>0</v>
      </c>
      <c r="BW41" s="118">
        <f t="shared" si="47"/>
        <v>0</v>
      </c>
      <c r="BX41" s="265"/>
      <c r="BY41" s="263" cm="1">
        <f t="array" ref="BY41">SUM(BJ41:BM41, -BP41:BT41,)</f>
        <v>0</v>
      </c>
      <c r="BZ41" s="263">
        <f t="shared" si="53"/>
        <v>0</v>
      </c>
      <c r="CA41" s="263">
        <f t="shared" si="48"/>
        <v>0</v>
      </c>
      <c r="CB41" s="263">
        <f t="shared" si="49"/>
        <v>0</v>
      </c>
      <c r="CC41" s="263">
        <f t="shared" si="50"/>
        <v>0</v>
      </c>
      <c r="CD41" s="263">
        <f t="shared" si="27"/>
        <v>0</v>
      </c>
      <c r="CE41" s="263">
        <f t="shared" si="51"/>
        <v>0</v>
      </c>
      <c r="CF41" s="263">
        <f t="shared" si="52"/>
        <v>0</v>
      </c>
      <c r="CH41" s="21"/>
    </row>
    <row r="42" spans="2:86" ht="15.75" customHeight="1" x14ac:dyDescent="0.45">
      <c r="C42" s="21" t="s">
        <v>167</v>
      </c>
      <c r="D42" s="191" t="s">
        <v>25</v>
      </c>
      <c r="F42" s="160">
        <v>0.01</v>
      </c>
      <c r="V42" s="294">
        <f t="shared" si="69"/>
        <v>55243</v>
      </c>
      <c r="W42" s="366">
        <f t="shared" si="29"/>
        <v>25</v>
      </c>
      <c r="X42" s="366" t="str">
        <f t="shared" si="30"/>
        <v>-</v>
      </c>
      <c r="Y42" s="106">
        <f t="shared" si="0"/>
        <v>0</v>
      </c>
      <c r="Z42" s="107">
        <f t="shared" si="1"/>
        <v>0</v>
      </c>
      <c r="AA42" s="107">
        <f t="shared" si="2"/>
        <v>0</v>
      </c>
      <c r="AB42" s="107">
        <f t="shared" si="3"/>
        <v>0</v>
      </c>
      <c r="AC42" s="108">
        <f t="shared" si="70"/>
        <v>0</v>
      </c>
      <c r="AD42" s="106">
        <f t="shared" si="71"/>
        <v>0</v>
      </c>
      <c r="AE42" s="107">
        <f t="shared" si="5"/>
        <v>0</v>
      </c>
      <c r="AF42" s="107">
        <f t="shared" si="32"/>
        <v>0</v>
      </c>
      <c r="AG42" s="368">
        <f>IF(AND($W42&gt;$O$83, SUM($AA$17:AA41)&gt;0,SUM($AG$17:AG41)&lt;$O$79),$O$82,0)</f>
        <v>64.125</v>
      </c>
      <c r="AH42" s="107">
        <f>IF(SUM($AA$18:$AA41)&gt;0,($O$79-SUM($AG$18:$AG41))*$F$83,0)</f>
        <v>2.5008750000000002</v>
      </c>
      <c r="AI42" s="108">
        <f t="shared" si="72"/>
        <v>66.625874999999994</v>
      </c>
      <c r="AJ42" s="113">
        <f t="shared" si="73"/>
        <v>-66.625874999999994</v>
      </c>
      <c r="AK42" s="115">
        <f t="shared" si="34"/>
        <v>0</v>
      </c>
      <c r="AL42" s="277"/>
      <c r="AM42" s="264">
        <f t="shared" si="74"/>
        <v>-26.329679209108726</v>
      </c>
      <c r="AN42" s="278"/>
      <c r="AO42" s="266">
        <f t="shared" si="8"/>
        <v>0</v>
      </c>
      <c r="AP42" s="263">
        <f t="shared" si="9"/>
        <v>0</v>
      </c>
      <c r="AQ42" s="263">
        <f t="shared" si="10"/>
        <v>0</v>
      </c>
      <c r="AR42" s="260">
        <f t="shared" si="11"/>
        <v>0</v>
      </c>
      <c r="AS42" s="261">
        <f t="shared" si="75"/>
        <v>0</v>
      </c>
      <c r="AT42" s="260">
        <f t="shared" si="76"/>
        <v>0</v>
      </c>
      <c r="AU42" s="260">
        <f t="shared" si="13"/>
        <v>0</v>
      </c>
      <c r="AV42" s="260">
        <f t="shared" si="14"/>
        <v>0</v>
      </c>
      <c r="AW42" s="260">
        <f t="shared" si="15"/>
        <v>0</v>
      </c>
      <c r="AX42" s="368">
        <f t="shared" si="36"/>
        <v>0</v>
      </c>
      <c r="AY42" s="260">
        <f t="shared" si="16"/>
        <v>0</v>
      </c>
      <c r="AZ42" s="368">
        <f>IF(AND($W42&gt;$P$83, SUM($AQ$17:AQ41)&gt;0,SUM($AZ$17:AZ41)&lt;$P$79),$P$82,0)</f>
        <v>64.125</v>
      </c>
      <c r="BA42" s="107">
        <f>IF(SUM($AQ$18:$AQ41)&gt;0,($P$79-SUM($AZ$18:$AZ41))*$F$83,0)</f>
        <v>2.5008750000000002</v>
      </c>
      <c r="BB42" s="261">
        <f t="shared" si="77"/>
        <v>66.625874999999994</v>
      </c>
      <c r="BC42" s="263">
        <f t="shared" si="78"/>
        <v>-66.625874999999994</v>
      </c>
      <c r="BD42" s="264">
        <f t="shared" si="79"/>
        <v>-26.329679209108726</v>
      </c>
      <c r="BE42" s="280"/>
      <c r="BF42" s="180">
        <f t="shared" si="80"/>
        <v>0.39518699317808176</v>
      </c>
      <c r="BH42" s="266">
        <f t="shared" si="81"/>
        <v>0</v>
      </c>
      <c r="BI42" s="266">
        <f t="shared" si="82"/>
        <v>0</v>
      </c>
      <c r="BJ42" s="263">
        <f t="shared" si="83"/>
        <v>0</v>
      </c>
      <c r="BK42" s="263">
        <f t="shared" si="84"/>
        <v>0</v>
      </c>
      <c r="BL42" s="263">
        <f t="shared" si="85"/>
        <v>0</v>
      </c>
      <c r="BM42" s="260">
        <f t="shared" si="18"/>
        <v>0</v>
      </c>
      <c r="BN42" s="264">
        <f t="shared" si="86"/>
        <v>0</v>
      </c>
      <c r="BO42" s="263">
        <f t="shared" si="87"/>
        <v>0</v>
      </c>
      <c r="BP42" s="263">
        <f t="shared" si="21"/>
        <v>0</v>
      </c>
      <c r="BQ42" s="263">
        <f t="shared" si="22"/>
        <v>0</v>
      </c>
      <c r="BR42" s="263">
        <f t="shared" si="23"/>
        <v>0</v>
      </c>
      <c r="BS42" s="263">
        <f t="shared" si="24"/>
        <v>0</v>
      </c>
      <c r="BT42" s="107">
        <f t="shared" si="45"/>
        <v>0</v>
      </c>
      <c r="BU42" s="264">
        <f t="shared" si="88"/>
        <v>0</v>
      </c>
      <c r="BV42" s="264">
        <f t="shared" si="89"/>
        <v>0</v>
      </c>
      <c r="BW42" s="118">
        <f t="shared" si="47"/>
        <v>0</v>
      </c>
      <c r="BX42" s="265"/>
      <c r="BY42" s="263" cm="1">
        <f t="array" ref="BY42">SUM(BJ42:BM42, -BP42:BT42,)</f>
        <v>0</v>
      </c>
      <c r="BZ42" s="263">
        <f t="shared" si="53"/>
        <v>0</v>
      </c>
      <c r="CA42" s="263">
        <f t="shared" si="48"/>
        <v>0</v>
      </c>
      <c r="CB42" s="263">
        <f t="shared" si="49"/>
        <v>0</v>
      </c>
      <c r="CC42" s="263">
        <f t="shared" si="50"/>
        <v>0</v>
      </c>
      <c r="CD42" s="263">
        <f t="shared" si="27"/>
        <v>0</v>
      </c>
      <c r="CE42" s="263">
        <f t="shared" si="51"/>
        <v>0</v>
      </c>
      <c r="CF42" s="263">
        <f t="shared" si="52"/>
        <v>0</v>
      </c>
      <c r="CH42" s="21"/>
    </row>
    <row r="43" spans="2:86" ht="15.75" customHeight="1" x14ac:dyDescent="0.45">
      <c r="C43" s="421"/>
      <c r="D43" s="197" t="s">
        <v>292</v>
      </c>
      <c r="E43" s="124"/>
      <c r="F43" s="161">
        <f>BW16</f>
        <v>0</v>
      </c>
      <c r="V43" s="294">
        <f t="shared" si="69"/>
        <v>55609</v>
      </c>
      <c r="W43" s="366">
        <f t="shared" si="29"/>
        <v>26</v>
      </c>
      <c r="X43" s="366" t="str">
        <f t="shared" si="30"/>
        <v>-</v>
      </c>
      <c r="Y43" s="106">
        <f t="shared" si="0"/>
        <v>0</v>
      </c>
      <c r="Z43" s="107">
        <f t="shared" si="1"/>
        <v>0</v>
      </c>
      <c r="AA43" s="107">
        <f t="shared" si="2"/>
        <v>0</v>
      </c>
      <c r="AB43" s="107">
        <f t="shared" si="3"/>
        <v>0</v>
      </c>
      <c r="AC43" s="108">
        <f t="shared" si="70"/>
        <v>0</v>
      </c>
      <c r="AD43" s="106">
        <f t="shared" si="71"/>
        <v>0</v>
      </c>
      <c r="AE43" s="107">
        <f t="shared" si="5"/>
        <v>0</v>
      </c>
      <c r="AF43" s="107">
        <f t="shared" si="32"/>
        <v>0</v>
      </c>
      <c r="AG43" s="368">
        <f>IF(AND($W43&gt;$O$83, SUM($AA$17:AA42)&gt;0,SUM($AG$17:AG42)&lt;$O$79),$O$82,0)</f>
        <v>64.125</v>
      </c>
      <c r="AH43" s="107">
        <f>IF(SUM($AA$18:$AA42)&gt;0,($O$79-SUM($AG$18:$AG42))*$F$83,0)</f>
        <v>1.2504375000000001</v>
      </c>
      <c r="AI43" s="108">
        <f t="shared" si="72"/>
        <v>65.375437500000004</v>
      </c>
      <c r="AJ43" s="113">
        <f t="shared" si="73"/>
        <v>-65.375437500000004</v>
      </c>
      <c r="AK43" s="115">
        <f t="shared" si="34"/>
        <v>0</v>
      </c>
      <c r="AL43" s="277"/>
      <c r="AM43" s="264">
        <f t="shared" si="74"/>
        <v>-24.893694534315326</v>
      </c>
      <c r="AN43" s="278"/>
      <c r="AO43" s="266">
        <f t="shared" si="8"/>
        <v>0</v>
      </c>
      <c r="AP43" s="263">
        <f t="shared" si="9"/>
        <v>0</v>
      </c>
      <c r="AQ43" s="263">
        <f t="shared" si="10"/>
        <v>0</v>
      </c>
      <c r="AR43" s="260">
        <f t="shared" si="11"/>
        <v>0</v>
      </c>
      <c r="AS43" s="261">
        <f t="shared" si="75"/>
        <v>0</v>
      </c>
      <c r="AT43" s="260">
        <f t="shared" si="76"/>
        <v>0</v>
      </c>
      <c r="AU43" s="260">
        <f t="shared" si="13"/>
        <v>0</v>
      </c>
      <c r="AV43" s="260">
        <f t="shared" si="14"/>
        <v>0</v>
      </c>
      <c r="AW43" s="260">
        <f t="shared" si="15"/>
        <v>0</v>
      </c>
      <c r="AX43" s="368">
        <f t="shared" si="36"/>
        <v>0</v>
      </c>
      <c r="AY43" s="260">
        <f t="shared" si="16"/>
        <v>0</v>
      </c>
      <c r="AZ43" s="368">
        <f>IF(AND($W43&gt;$P$83, SUM($AQ$17:AQ42)&gt;0,SUM($AZ$17:AZ42)&lt;$P$79),$P$82,0)</f>
        <v>64.125</v>
      </c>
      <c r="BA43" s="107">
        <f>IF(SUM($AQ$18:$AQ42)&gt;0,($P$79-SUM($AZ$18:$AZ42))*$F$83,0)</f>
        <v>1.2504375000000001</v>
      </c>
      <c r="BB43" s="261">
        <f t="shared" si="77"/>
        <v>65.375437500000004</v>
      </c>
      <c r="BC43" s="263">
        <f t="shared" si="78"/>
        <v>-65.375437500000004</v>
      </c>
      <c r="BD43" s="264">
        <f t="shared" si="79"/>
        <v>-24.893694534315326</v>
      </c>
      <c r="BE43" s="280"/>
      <c r="BF43" s="180">
        <f t="shared" si="80"/>
        <v>0.38078054214651069</v>
      </c>
      <c r="BH43" s="266">
        <f t="shared" si="81"/>
        <v>0</v>
      </c>
      <c r="BI43" s="266">
        <f t="shared" si="82"/>
        <v>0</v>
      </c>
      <c r="BJ43" s="263">
        <f t="shared" si="83"/>
        <v>0</v>
      </c>
      <c r="BK43" s="263">
        <f t="shared" si="84"/>
        <v>0</v>
      </c>
      <c r="BL43" s="263">
        <f t="shared" si="85"/>
        <v>0</v>
      </c>
      <c r="BM43" s="260">
        <f t="shared" si="18"/>
        <v>0</v>
      </c>
      <c r="BN43" s="264">
        <f t="shared" si="86"/>
        <v>0</v>
      </c>
      <c r="BO43" s="263">
        <f t="shared" si="87"/>
        <v>0</v>
      </c>
      <c r="BP43" s="263">
        <f t="shared" si="21"/>
        <v>0</v>
      </c>
      <c r="BQ43" s="263">
        <f t="shared" si="22"/>
        <v>0</v>
      </c>
      <c r="BR43" s="263">
        <f t="shared" si="23"/>
        <v>0</v>
      </c>
      <c r="BS43" s="263">
        <f t="shared" si="24"/>
        <v>0</v>
      </c>
      <c r="BT43" s="107">
        <f t="shared" si="45"/>
        <v>0</v>
      </c>
      <c r="BU43" s="264">
        <f t="shared" si="88"/>
        <v>0</v>
      </c>
      <c r="BV43" s="264">
        <f t="shared" si="89"/>
        <v>0</v>
      </c>
      <c r="BW43" s="118">
        <f t="shared" si="47"/>
        <v>0</v>
      </c>
      <c r="BX43" s="265"/>
      <c r="BY43" s="263" cm="1">
        <f t="array" ref="BY43">SUM(BJ43:BM43, -BP43:BT43,)</f>
        <v>0</v>
      </c>
      <c r="BZ43" s="263">
        <f t="shared" si="53"/>
        <v>0</v>
      </c>
      <c r="CA43" s="263">
        <f t="shared" si="48"/>
        <v>0</v>
      </c>
      <c r="CB43" s="263">
        <f t="shared" si="49"/>
        <v>0</v>
      </c>
      <c r="CC43" s="263">
        <f t="shared" si="50"/>
        <v>0</v>
      </c>
      <c r="CD43" s="263">
        <f t="shared" si="27"/>
        <v>0</v>
      </c>
      <c r="CE43" s="263">
        <f t="shared" si="51"/>
        <v>0</v>
      </c>
      <c r="CF43" s="263">
        <f t="shared" si="52"/>
        <v>0</v>
      </c>
      <c r="CH43" s="21"/>
    </row>
    <row r="44" spans="2:86" ht="15.75" customHeight="1" x14ac:dyDescent="0.3">
      <c r="V44" s="294">
        <f t="shared" si="69"/>
        <v>55974</v>
      </c>
      <c r="W44" s="366">
        <f t="shared" si="29"/>
        <v>27</v>
      </c>
      <c r="X44" s="366" t="str">
        <f t="shared" si="30"/>
        <v>-</v>
      </c>
      <c r="Y44" s="106">
        <f t="shared" si="0"/>
        <v>0</v>
      </c>
      <c r="Z44" s="107">
        <f t="shared" si="1"/>
        <v>0</v>
      </c>
      <c r="AA44" s="107">
        <f t="shared" si="2"/>
        <v>0</v>
      </c>
      <c r="AB44" s="107">
        <f t="shared" si="3"/>
        <v>0</v>
      </c>
      <c r="AC44" s="108">
        <f t="shared" si="70"/>
        <v>0</v>
      </c>
      <c r="AD44" s="106">
        <f t="shared" si="71"/>
        <v>0</v>
      </c>
      <c r="AE44" s="107">
        <f t="shared" si="5"/>
        <v>0</v>
      </c>
      <c r="AF44" s="107">
        <f t="shared" si="32"/>
        <v>0</v>
      </c>
      <c r="AG44" s="368">
        <f>IF(AND($W44&gt;$O$83, SUM($AA$17:AA43)&gt;0,SUM($AG$17:AG43)&lt;$O$79),$O$82,0)</f>
        <v>0</v>
      </c>
      <c r="AH44" s="107">
        <f>IF(SUM($AA$18:$AA43)&gt;0,($O$79-SUM($AG$18:$AG43))*$F$83,0)</f>
        <v>0</v>
      </c>
      <c r="AI44" s="108">
        <f t="shared" si="72"/>
        <v>0</v>
      </c>
      <c r="AJ44" s="113">
        <f t="shared" si="73"/>
        <v>0</v>
      </c>
      <c r="AK44" s="115">
        <f t="shared" si="34"/>
        <v>0</v>
      </c>
      <c r="AL44" s="277"/>
      <c r="AM44" s="264">
        <f t="shared" si="74"/>
        <v>0</v>
      </c>
      <c r="AN44" s="278"/>
      <c r="AO44" s="266">
        <f t="shared" si="8"/>
        <v>0</v>
      </c>
      <c r="AP44" s="263">
        <f t="shared" si="9"/>
        <v>0</v>
      </c>
      <c r="AQ44" s="263">
        <f t="shared" si="10"/>
        <v>0</v>
      </c>
      <c r="AR44" s="260">
        <f t="shared" si="11"/>
        <v>0</v>
      </c>
      <c r="AS44" s="261">
        <f t="shared" si="75"/>
        <v>0</v>
      </c>
      <c r="AT44" s="260">
        <f t="shared" si="76"/>
        <v>0</v>
      </c>
      <c r="AU44" s="260">
        <f t="shared" si="13"/>
        <v>0</v>
      </c>
      <c r="AV44" s="260">
        <f t="shared" si="14"/>
        <v>0</v>
      </c>
      <c r="AW44" s="260">
        <f t="shared" si="15"/>
        <v>0</v>
      </c>
      <c r="AX44" s="368">
        <f t="shared" si="36"/>
        <v>0</v>
      </c>
      <c r="AY44" s="260">
        <f t="shared" si="16"/>
        <v>0</v>
      </c>
      <c r="AZ44" s="368">
        <f>IF(AND($W44&gt;$P$83, SUM($AQ$17:AQ43)&gt;0,SUM($AZ$17:AZ43)&lt;$P$79),$P$82,0)</f>
        <v>0</v>
      </c>
      <c r="BA44" s="107">
        <f>IF(SUM($AQ$18:$AQ43)&gt;0,($P$79-SUM($AZ$18:$AZ43))*$F$83,0)</f>
        <v>0</v>
      </c>
      <c r="BB44" s="261">
        <f t="shared" si="77"/>
        <v>0</v>
      </c>
      <c r="BC44" s="263">
        <f t="shared" si="78"/>
        <v>0</v>
      </c>
      <c r="BD44" s="264">
        <f t="shared" si="79"/>
        <v>0</v>
      </c>
      <c r="BE44" s="280"/>
      <c r="BF44" s="180">
        <f t="shared" si="80"/>
        <v>0.36689927497702979</v>
      </c>
      <c r="BH44" s="266">
        <f t="shared" si="81"/>
        <v>0</v>
      </c>
      <c r="BI44" s="266">
        <f t="shared" si="82"/>
        <v>0</v>
      </c>
      <c r="BJ44" s="263">
        <f t="shared" si="83"/>
        <v>0</v>
      </c>
      <c r="BK44" s="263">
        <f t="shared" si="84"/>
        <v>0</v>
      </c>
      <c r="BL44" s="263">
        <f t="shared" si="85"/>
        <v>0</v>
      </c>
      <c r="BM44" s="260">
        <f t="shared" si="18"/>
        <v>0</v>
      </c>
      <c r="BN44" s="264">
        <f t="shared" si="86"/>
        <v>0</v>
      </c>
      <c r="BO44" s="263">
        <f t="shared" si="87"/>
        <v>0</v>
      </c>
      <c r="BP44" s="263">
        <f t="shared" si="21"/>
        <v>0</v>
      </c>
      <c r="BQ44" s="263">
        <f t="shared" si="22"/>
        <v>0</v>
      </c>
      <c r="BR44" s="263">
        <f t="shared" si="23"/>
        <v>0</v>
      </c>
      <c r="BS44" s="263">
        <f t="shared" si="24"/>
        <v>0</v>
      </c>
      <c r="BT44" s="107">
        <f t="shared" si="45"/>
        <v>0</v>
      </c>
      <c r="BU44" s="264">
        <f t="shared" si="88"/>
        <v>0</v>
      </c>
      <c r="BV44" s="264">
        <f t="shared" si="89"/>
        <v>0</v>
      </c>
      <c r="BW44" s="118">
        <f t="shared" si="47"/>
        <v>0</v>
      </c>
      <c r="BX44" s="265"/>
      <c r="BY44" s="263" cm="1">
        <f t="array" ref="BY44">SUM(BJ44:BM44, -BP44:BT44,)</f>
        <v>0</v>
      </c>
      <c r="BZ44" s="263">
        <f t="shared" si="53"/>
        <v>0</v>
      </c>
      <c r="CA44" s="263">
        <f t="shared" si="48"/>
        <v>0</v>
      </c>
      <c r="CB44" s="263">
        <f t="shared" si="49"/>
        <v>0</v>
      </c>
      <c r="CC44" s="263">
        <f t="shared" si="50"/>
        <v>0</v>
      </c>
      <c r="CD44" s="263">
        <f t="shared" si="27"/>
        <v>0</v>
      </c>
      <c r="CE44" s="263">
        <f t="shared" si="51"/>
        <v>0</v>
      </c>
      <c r="CF44" s="263">
        <f t="shared" si="52"/>
        <v>0</v>
      </c>
      <c r="CH44" s="21"/>
    </row>
    <row r="45" spans="2:86" ht="15.75" customHeight="1" x14ac:dyDescent="0.45">
      <c r="B45" s="223" t="s">
        <v>168</v>
      </c>
      <c r="D45" s="191" t="s">
        <v>21</v>
      </c>
      <c r="F45" s="184">
        <f>SUM(F46:F47)</f>
        <v>50</v>
      </c>
      <c r="J45" s="223" t="s">
        <v>168</v>
      </c>
      <c r="O45" s="21" t="s">
        <v>55</v>
      </c>
      <c r="P45" s="21" t="s">
        <v>98</v>
      </c>
      <c r="V45" s="294">
        <f t="shared" si="69"/>
        <v>56339</v>
      </c>
      <c r="W45" s="366">
        <f t="shared" si="29"/>
        <v>28</v>
      </c>
      <c r="X45" s="366" t="str">
        <f t="shared" si="30"/>
        <v>-</v>
      </c>
      <c r="Y45" s="106">
        <f t="shared" si="0"/>
        <v>0</v>
      </c>
      <c r="Z45" s="107">
        <f t="shared" si="1"/>
        <v>0</v>
      </c>
      <c r="AA45" s="107">
        <f t="shared" si="2"/>
        <v>0</v>
      </c>
      <c r="AB45" s="107">
        <f t="shared" si="3"/>
        <v>0</v>
      </c>
      <c r="AC45" s="108">
        <f t="shared" si="70"/>
        <v>0</v>
      </c>
      <c r="AD45" s="106">
        <f t="shared" si="71"/>
        <v>0</v>
      </c>
      <c r="AE45" s="107">
        <f t="shared" si="5"/>
        <v>0</v>
      </c>
      <c r="AF45" s="107">
        <f t="shared" si="32"/>
        <v>0</v>
      </c>
      <c r="AG45" s="368">
        <f>IF(AND($W45&gt;$O$83, SUM($AA$17:AA44)&gt;0,SUM($AG$17:AG44)&lt;$O$79),$O$82,0)</f>
        <v>0</v>
      </c>
      <c r="AH45" s="107">
        <f>IF(SUM($AA$18:$AA44)&gt;0,($O$79-SUM($AG$18:$AG44))*$F$83,0)</f>
        <v>0</v>
      </c>
      <c r="AI45" s="108">
        <f t="shared" si="72"/>
        <v>0</v>
      </c>
      <c r="AJ45" s="113">
        <f t="shared" si="73"/>
        <v>0</v>
      </c>
      <c r="AK45" s="115">
        <f t="shared" si="34"/>
        <v>0</v>
      </c>
      <c r="AL45" s="277"/>
      <c r="AM45" s="264">
        <f t="shared" si="74"/>
        <v>0</v>
      </c>
      <c r="AN45" s="278"/>
      <c r="AO45" s="266">
        <f t="shared" si="8"/>
        <v>0</v>
      </c>
      <c r="AP45" s="263">
        <f t="shared" si="9"/>
        <v>0</v>
      </c>
      <c r="AQ45" s="263">
        <f t="shared" si="10"/>
        <v>0</v>
      </c>
      <c r="AR45" s="260">
        <f t="shared" si="11"/>
        <v>0</v>
      </c>
      <c r="AS45" s="261">
        <f t="shared" si="75"/>
        <v>0</v>
      </c>
      <c r="AT45" s="260">
        <f t="shared" si="76"/>
        <v>0</v>
      </c>
      <c r="AU45" s="260">
        <f t="shared" si="13"/>
        <v>0</v>
      </c>
      <c r="AV45" s="260">
        <f t="shared" si="14"/>
        <v>0</v>
      </c>
      <c r="AW45" s="260">
        <f t="shared" si="15"/>
        <v>0</v>
      </c>
      <c r="AX45" s="368">
        <f t="shared" si="36"/>
        <v>0</v>
      </c>
      <c r="AY45" s="260">
        <f t="shared" si="16"/>
        <v>0</v>
      </c>
      <c r="AZ45" s="368">
        <f>IF(AND($W45&gt;$P$83, SUM($AQ$17:AQ44)&gt;0,SUM($AZ$17:AZ44)&lt;$P$79),$P$82,0)</f>
        <v>0</v>
      </c>
      <c r="BA45" s="107">
        <f>IF(SUM($AQ$18:$AQ44)&gt;0,($P$79-SUM($AZ$18:$AZ44))*$F$83,0)</f>
        <v>0</v>
      </c>
      <c r="BB45" s="261">
        <f t="shared" si="77"/>
        <v>0</v>
      </c>
      <c r="BC45" s="263">
        <f t="shared" si="78"/>
        <v>0</v>
      </c>
      <c r="BD45" s="264">
        <f t="shared" si="79"/>
        <v>0</v>
      </c>
      <c r="BE45" s="280"/>
      <c r="BF45" s="180">
        <f t="shared" si="80"/>
        <v>0.35352404621262151</v>
      </c>
      <c r="BH45" s="266">
        <f t="shared" si="81"/>
        <v>0</v>
      </c>
      <c r="BI45" s="266">
        <f t="shared" si="82"/>
        <v>0</v>
      </c>
      <c r="BJ45" s="263">
        <f t="shared" si="83"/>
        <v>0</v>
      </c>
      <c r="BK45" s="263">
        <f t="shared" si="84"/>
        <v>0</v>
      </c>
      <c r="BL45" s="263">
        <f t="shared" si="85"/>
        <v>0</v>
      </c>
      <c r="BM45" s="260">
        <f t="shared" si="18"/>
        <v>0</v>
      </c>
      <c r="BN45" s="264">
        <f t="shared" si="86"/>
        <v>0</v>
      </c>
      <c r="BO45" s="263">
        <f t="shared" si="87"/>
        <v>0</v>
      </c>
      <c r="BP45" s="263">
        <f t="shared" si="21"/>
        <v>0</v>
      </c>
      <c r="BQ45" s="263">
        <f t="shared" si="22"/>
        <v>0</v>
      </c>
      <c r="BR45" s="263">
        <f t="shared" si="23"/>
        <v>0</v>
      </c>
      <c r="BS45" s="263">
        <f t="shared" si="24"/>
        <v>0</v>
      </c>
      <c r="BT45" s="107">
        <f t="shared" si="45"/>
        <v>0</v>
      </c>
      <c r="BU45" s="264">
        <f t="shared" si="88"/>
        <v>0</v>
      </c>
      <c r="BV45" s="264">
        <f t="shared" si="89"/>
        <v>0</v>
      </c>
      <c r="BW45" s="118">
        <f t="shared" si="47"/>
        <v>0</v>
      </c>
      <c r="BX45" s="265"/>
      <c r="BY45" s="263" cm="1">
        <f t="array" ref="BY45">SUM(BJ45:BM45, -BP45:BT45,)</f>
        <v>0</v>
      </c>
      <c r="BZ45" s="263">
        <f t="shared" si="53"/>
        <v>0</v>
      </c>
      <c r="CA45" s="263">
        <f t="shared" si="48"/>
        <v>0</v>
      </c>
      <c r="CB45" s="263">
        <f t="shared" si="49"/>
        <v>0</v>
      </c>
      <c r="CC45" s="263">
        <f t="shared" si="50"/>
        <v>0</v>
      </c>
      <c r="CD45" s="263">
        <f t="shared" si="27"/>
        <v>0</v>
      </c>
      <c r="CE45" s="263">
        <f t="shared" si="51"/>
        <v>0</v>
      </c>
      <c r="CF45" s="263">
        <f t="shared" si="52"/>
        <v>0</v>
      </c>
      <c r="CH45" s="21"/>
    </row>
    <row r="46" spans="2:86" ht="15.75" customHeight="1" x14ac:dyDescent="0.45">
      <c r="C46" s="21" t="s">
        <v>153</v>
      </c>
      <c r="D46" s="191" t="s">
        <v>21</v>
      </c>
      <c r="F46" s="156">
        <f>事業費用概算!G27</f>
        <v>0</v>
      </c>
      <c r="K46" s="21" t="s">
        <v>170</v>
      </c>
      <c r="N46" s="191" t="s">
        <v>21</v>
      </c>
      <c r="O46" s="189">
        <f>F45*F65</f>
        <v>47.5</v>
      </c>
      <c r="P46" s="91">
        <f>F45*(1-F67)</f>
        <v>47.5</v>
      </c>
      <c r="Q46" s="21" t="s">
        <v>155</v>
      </c>
      <c r="V46" s="294">
        <f t="shared" si="69"/>
        <v>56704</v>
      </c>
      <c r="W46" s="366">
        <f t="shared" si="29"/>
        <v>29</v>
      </c>
      <c r="X46" s="366" t="str">
        <f t="shared" si="30"/>
        <v>-</v>
      </c>
      <c r="Y46" s="106">
        <f t="shared" si="0"/>
        <v>0</v>
      </c>
      <c r="Z46" s="107">
        <f t="shared" si="1"/>
        <v>0</v>
      </c>
      <c r="AA46" s="107">
        <f t="shared" si="2"/>
        <v>0</v>
      </c>
      <c r="AB46" s="107">
        <f t="shared" si="3"/>
        <v>0</v>
      </c>
      <c r="AC46" s="108">
        <f t="shared" si="70"/>
        <v>0</v>
      </c>
      <c r="AD46" s="106">
        <f t="shared" si="71"/>
        <v>0</v>
      </c>
      <c r="AE46" s="107">
        <f t="shared" si="5"/>
        <v>0</v>
      </c>
      <c r="AF46" s="107">
        <f t="shared" si="32"/>
        <v>0</v>
      </c>
      <c r="AG46" s="368">
        <f>IF(AND($W46&gt;$O$83, SUM($AA$17:AA45)&gt;0,SUM($AG$17:AG45)&lt;$O$79),$O$82,0)</f>
        <v>0</v>
      </c>
      <c r="AH46" s="107">
        <f>IF(SUM($AA$18:$AA45)&gt;0,($O$79-SUM($AG$18:$AG45))*$F$83,0)</f>
        <v>0</v>
      </c>
      <c r="AI46" s="108">
        <f t="shared" si="72"/>
        <v>0</v>
      </c>
      <c r="AJ46" s="113">
        <f t="shared" si="73"/>
        <v>0</v>
      </c>
      <c r="AK46" s="115">
        <f t="shared" si="34"/>
        <v>0</v>
      </c>
      <c r="AL46" s="277"/>
      <c r="AM46" s="264">
        <f t="shared" si="74"/>
        <v>0</v>
      </c>
      <c r="AN46" s="278"/>
      <c r="AO46" s="266">
        <f t="shared" si="8"/>
        <v>0</v>
      </c>
      <c r="AP46" s="263">
        <f t="shared" si="9"/>
        <v>0</v>
      </c>
      <c r="AQ46" s="263">
        <f t="shared" si="10"/>
        <v>0</v>
      </c>
      <c r="AR46" s="260">
        <f t="shared" si="11"/>
        <v>0</v>
      </c>
      <c r="AS46" s="261">
        <f t="shared" si="75"/>
        <v>0</v>
      </c>
      <c r="AT46" s="260">
        <f t="shared" si="76"/>
        <v>0</v>
      </c>
      <c r="AU46" s="260">
        <f t="shared" si="13"/>
        <v>0</v>
      </c>
      <c r="AV46" s="260">
        <f t="shared" si="14"/>
        <v>0</v>
      </c>
      <c r="AW46" s="260">
        <f t="shared" si="15"/>
        <v>0</v>
      </c>
      <c r="AX46" s="368">
        <f t="shared" si="36"/>
        <v>0</v>
      </c>
      <c r="AY46" s="260">
        <f t="shared" si="16"/>
        <v>0</v>
      </c>
      <c r="AZ46" s="368">
        <f>IF(AND($W46&gt;$P$83, SUM($AQ$17:AQ45)&gt;0,SUM($AZ$17:AZ45)&lt;$P$79),$P$82,0)</f>
        <v>0</v>
      </c>
      <c r="BA46" s="107">
        <f>IF(SUM($AQ$18:$AQ45)&gt;0,($P$79-SUM($AZ$18:$AZ45))*$F$83,0)</f>
        <v>0</v>
      </c>
      <c r="BB46" s="261">
        <f t="shared" si="77"/>
        <v>0</v>
      </c>
      <c r="BC46" s="263">
        <f t="shared" si="78"/>
        <v>0</v>
      </c>
      <c r="BD46" s="264">
        <f t="shared" si="79"/>
        <v>0</v>
      </c>
      <c r="BE46" s="280"/>
      <c r="BF46" s="180">
        <f t="shared" si="80"/>
        <v>0.3406364083395047</v>
      </c>
      <c r="BH46" s="266">
        <f t="shared" si="81"/>
        <v>0</v>
      </c>
      <c r="BI46" s="266">
        <f t="shared" si="82"/>
        <v>0</v>
      </c>
      <c r="BJ46" s="263">
        <f t="shared" si="83"/>
        <v>0</v>
      </c>
      <c r="BK46" s="263">
        <f t="shared" si="84"/>
        <v>0</v>
      </c>
      <c r="BL46" s="263">
        <f t="shared" si="85"/>
        <v>0</v>
      </c>
      <c r="BM46" s="260">
        <f t="shared" si="18"/>
        <v>0</v>
      </c>
      <c r="BN46" s="264">
        <f t="shared" si="86"/>
        <v>0</v>
      </c>
      <c r="BO46" s="263">
        <f t="shared" si="87"/>
        <v>0</v>
      </c>
      <c r="BP46" s="263">
        <f t="shared" si="21"/>
        <v>0</v>
      </c>
      <c r="BQ46" s="263">
        <f t="shared" si="22"/>
        <v>0</v>
      </c>
      <c r="BR46" s="263">
        <f t="shared" si="23"/>
        <v>0</v>
      </c>
      <c r="BS46" s="263">
        <f t="shared" si="24"/>
        <v>0</v>
      </c>
      <c r="BT46" s="107">
        <f t="shared" si="45"/>
        <v>0</v>
      </c>
      <c r="BU46" s="264">
        <f t="shared" si="88"/>
        <v>0</v>
      </c>
      <c r="BV46" s="264">
        <f t="shared" si="89"/>
        <v>0</v>
      </c>
      <c r="BW46" s="118">
        <f t="shared" si="47"/>
        <v>0</v>
      </c>
      <c r="BX46" s="265"/>
      <c r="BY46" s="263" cm="1">
        <f t="array" ref="BY46">SUM(BJ46:BM46, -BP46:BT46,)</f>
        <v>0</v>
      </c>
      <c r="BZ46" s="263">
        <f t="shared" si="53"/>
        <v>0</v>
      </c>
      <c r="CA46" s="263">
        <f t="shared" si="48"/>
        <v>0</v>
      </c>
      <c r="CB46" s="263">
        <f t="shared" si="49"/>
        <v>0</v>
      </c>
      <c r="CC46" s="263">
        <f t="shared" si="50"/>
        <v>0</v>
      </c>
      <c r="CD46" s="263">
        <f t="shared" si="27"/>
        <v>0</v>
      </c>
      <c r="CE46" s="263">
        <f t="shared" si="51"/>
        <v>0</v>
      </c>
      <c r="CF46" s="263">
        <f t="shared" si="52"/>
        <v>0</v>
      </c>
      <c r="CH46" s="21"/>
    </row>
    <row r="47" spans="2:86" ht="15.75" customHeight="1" x14ac:dyDescent="0.45">
      <c r="C47" s="21" t="s">
        <v>156</v>
      </c>
      <c r="D47" s="191" t="s">
        <v>21</v>
      </c>
      <c r="F47" s="156">
        <f>事業費用概算!G28</f>
        <v>50</v>
      </c>
      <c r="K47" s="21" t="s">
        <v>172</v>
      </c>
      <c r="N47" s="191" t="s">
        <v>21</v>
      </c>
      <c r="O47" s="169"/>
      <c r="P47" s="143">
        <f>F72</f>
        <v>0</v>
      </c>
      <c r="Q47" s="21" t="s">
        <v>274</v>
      </c>
      <c r="V47" s="294">
        <f t="shared" si="69"/>
        <v>57070</v>
      </c>
      <c r="W47" s="366">
        <f t="shared" si="29"/>
        <v>30</v>
      </c>
      <c r="X47" s="366" t="str">
        <f t="shared" si="30"/>
        <v>-</v>
      </c>
      <c r="Y47" s="106">
        <f t="shared" si="0"/>
        <v>0</v>
      </c>
      <c r="Z47" s="107">
        <f t="shared" si="1"/>
        <v>0</v>
      </c>
      <c r="AA47" s="107">
        <f t="shared" si="2"/>
        <v>0</v>
      </c>
      <c r="AB47" s="107">
        <f t="shared" si="3"/>
        <v>0</v>
      </c>
      <c r="AC47" s="108">
        <f t="shared" si="70"/>
        <v>0</v>
      </c>
      <c r="AD47" s="106">
        <f t="shared" si="71"/>
        <v>0</v>
      </c>
      <c r="AE47" s="107">
        <f t="shared" si="5"/>
        <v>0</v>
      </c>
      <c r="AF47" s="107">
        <f t="shared" si="32"/>
        <v>0</v>
      </c>
      <c r="AG47" s="368">
        <f>IF(AND($W47&gt;$O$83, SUM($AA$17:AA46)&gt;0,SUM($AG$17:AG46)&lt;$O$79),$O$82,0)</f>
        <v>0</v>
      </c>
      <c r="AH47" s="107">
        <f>IF(SUM($AA$18:$AA46)&gt;0,($O$79-SUM($AG$18:$AG46))*$F$83,0)</f>
        <v>0</v>
      </c>
      <c r="AI47" s="108">
        <f t="shared" si="72"/>
        <v>0</v>
      </c>
      <c r="AJ47" s="113">
        <f t="shared" si="73"/>
        <v>0</v>
      </c>
      <c r="AK47" s="115">
        <f t="shared" si="34"/>
        <v>0</v>
      </c>
      <c r="AL47" s="277"/>
      <c r="AM47" s="264">
        <f t="shared" si="74"/>
        <v>0</v>
      </c>
      <c r="AN47" s="278"/>
      <c r="AO47" s="266">
        <f t="shared" si="8"/>
        <v>0</v>
      </c>
      <c r="AP47" s="263">
        <f t="shared" si="9"/>
        <v>0</v>
      </c>
      <c r="AQ47" s="263">
        <f t="shared" si="10"/>
        <v>0</v>
      </c>
      <c r="AR47" s="260">
        <f t="shared" si="11"/>
        <v>0</v>
      </c>
      <c r="AS47" s="261">
        <f t="shared" si="75"/>
        <v>0</v>
      </c>
      <c r="AT47" s="260">
        <f t="shared" si="76"/>
        <v>0</v>
      </c>
      <c r="AU47" s="260">
        <f t="shared" si="13"/>
        <v>0</v>
      </c>
      <c r="AV47" s="260">
        <f t="shared" si="14"/>
        <v>0</v>
      </c>
      <c r="AW47" s="260">
        <f t="shared" si="15"/>
        <v>0</v>
      </c>
      <c r="AX47" s="368">
        <f t="shared" si="36"/>
        <v>0</v>
      </c>
      <c r="AY47" s="260">
        <f t="shared" si="16"/>
        <v>0</v>
      </c>
      <c r="AZ47" s="368">
        <f>IF(AND($W47&gt;$P$83, SUM($AQ$17:AQ46)&gt;0,SUM($AZ$17:AZ46)&lt;$P$79),$P$82,0)</f>
        <v>0</v>
      </c>
      <c r="BA47" s="107">
        <f>IF(SUM($AQ$18:$AQ46)&gt;0,($P$79-SUM($AZ$18:$AZ46))*$F$83,0)</f>
        <v>0</v>
      </c>
      <c r="BB47" s="261">
        <f t="shared" si="77"/>
        <v>0</v>
      </c>
      <c r="BC47" s="263">
        <f t="shared" si="78"/>
        <v>0</v>
      </c>
      <c r="BD47" s="264">
        <f t="shared" si="79"/>
        <v>0</v>
      </c>
      <c r="BE47" s="280"/>
      <c r="BF47" s="181">
        <f t="shared" si="80"/>
        <v>0.32821858634377438</v>
      </c>
      <c r="BH47" s="266">
        <f t="shared" si="81"/>
        <v>0</v>
      </c>
      <c r="BI47" s="266">
        <f t="shared" si="82"/>
        <v>0</v>
      </c>
      <c r="BJ47" s="263">
        <f t="shared" si="83"/>
        <v>0</v>
      </c>
      <c r="BK47" s="263">
        <f t="shared" si="84"/>
        <v>0</v>
      </c>
      <c r="BL47" s="263">
        <f t="shared" si="85"/>
        <v>0</v>
      </c>
      <c r="BM47" s="260">
        <f t="shared" si="18"/>
        <v>0</v>
      </c>
      <c r="BN47" s="261">
        <f t="shared" si="86"/>
        <v>0</v>
      </c>
      <c r="BO47" s="263">
        <f t="shared" si="87"/>
        <v>0</v>
      </c>
      <c r="BP47" s="263">
        <f t="shared" si="21"/>
        <v>0</v>
      </c>
      <c r="BQ47" s="263">
        <f t="shared" si="22"/>
        <v>0</v>
      </c>
      <c r="BR47" s="263">
        <f t="shared" si="23"/>
        <v>0</v>
      </c>
      <c r="BS47" s="263">
        <f t="shared" si="24"/>
        <v>0</v>
      </c>
      <c r="BT47" s="107">
        <f t="shared" si="45"/>
        <v>0</v>
      </c>
      <c r="BU47" s="264">
        <f t="shared" si="88"/>
        <v>0</v>
      </c>
      <c r="BV47" s="261">
        <f t="shared" si="89"/>
        <v>0</v>
      </c>
      <c r="BW47" s="118">
        <f t="shared" si="47"/>
        <v>0</v>
      </c>
      <c r="BX47" s="265"/>
      <c r="BY47" s="263" cm="1">
        <f t="array" ref="BY47">SUM(BJ47:BM47, -BP47:BT47,)</f>
        <v>0</v>
      </c>
      <c r="BZ47" s="263">
        <f t="shared" si="53"/>
        <v>0</v>
      </c>
      <c r="CA47" s="263">
        <f t="shared" si="48"/>
        <v>0</v>
      </c>
      <c r="CB47" s="263">
        <f t="shared" si="49"/>
        <v>0</v>
      </c>
      <c r="CC47" s="263">
        <f t="shared" si="50"/>
        <v>0</v>
      </c>
      <c r="CD47" s="263">
        <f t="shared" si="27"/>
        <v>0</v>
      </c>
      <c r="CE47" s="263">
        <f t="shared" si="51"/>
        <v>0</v>
      </c>
      <c r="CF47" s="263">
        <f t="shared" si="52"/>
        <v>0</v>
      </c>
      <c r="CH47" s="21"/>
    </row>
    <row r="48" spans="2:86" ht="15.75" customHeight="1" thickBot="1" x14ac:dyDescent="0.6">
      <c r="K48" s="21" t="s">
        <v>174</v>
      </c>
      <c r="N48" s="191" t="s">
        <v>21</v>
      </c>
      <c r="O48" s="91">
        <f>O46-O47</f>
        <v>47.5</v>
      </c>
      <c r="P48" s="91">
        <f>P46-P47</f>
        <v>47.5</v>
      </c>
      <c r="Y48" s="127"/>
      <c r="Z48" s="127"/>
      <c r="AA48" s="95"/>
      <c r="AB48" s="95"/>
      <c r="AC48" s="95"/>
      <c r="AD48" s="95"/>
      <c r="AE48" s="95"/>
      <c r="AF48" s="95"/>
      <c r="AG48" s="107"/>
      <c r="AH48" s="113"/>
      <c r="AI48" s="95"/>
      <c r="AJ48" s="95"/>
      <c r="AK48" s="95"/>
      <c r="AL48" s="95"/>
      <c r="AM48" s="95"/>
      <c r="AN48" s="98"/>
      <c r="AO48" s="95"/>
      <c r="AP48" s="95"/>
      <c r="AQ48" s="95"/>
      <c r="AR48" s="95"/>
      <c r="AS48" s="95"/>
      <c r="AT48" s="95"/>
      <c r="AU48" s="95"/>
      <c r="AV48" s="95"/>
      <c r="AW48" s="95"/>
      <c r="AX48" s="95"/>
      <c r="AY48" s="95"/>
      <c r="AZ48" s="95"/>
      <c r="BA48" s="95"/>
      <c r="BB48" s="95"/>
      <c r="BC48" s="95"/>
      <c r="BD48" s="95"/>
      <c r="BH48" s="95"/>
      <c r="BI48" s="95"/>
      <c r="BJ48" s="95"/>
      <c r="BK48" s="95"/>
      <c r="BL48" s="95"/>
      <c r="BM48" s="95"/>
      <c r="BN48" s="95"/>
      <c r="BO48" s="95"/>
      <c r="BP48" s="95"/>
      <c r="BQ48" s="95"/>
      <c r="BR48" s="95"/>
      <c r="BS48" s="95"/>
      <c r="BT48" s="95"/>
      <c r="BU48" s="95"/>
      <c r="BV48" s="95"/>
      <c r="BX48" s="98"/>
      <c r="BY48" s="95"/>
      <c r="BZ48" s="263"/>
      <c r="CA48" s="263"/>
      <c r="CB48" s="263"/>
      <c r="CC48" s="263"/>
      <c r="CD48" s="263"/>
      <c r="CE48" s="263"/>
      <c r="CF48" s="263"/>
      <c r="CH48" s="21"/>
    </row>
    <row r="49" spans="1:86" ht="15.75" customHeight="1" thickTop="1" x14ac:dyDescent="0.55000000000000004">
      <c r="E49" s="22"/>
      <c r="F49" s="22"/>
      <c r="K49" s="21" t="s">
        <v>175</v>
      </c>
      <c r="N49" s="191" t="s">
        <v>21</v>
      </c>
      <c r="O49" s="91">
        <f>O48*$F$19</f>
        <v>950</v>
      </c>
      <c r="P49" s="91">
        <f>P48*$F$19</f>
        <v>950</v>
      </c>
      <c r="X49" s="128" t="s">
        <v>68</v>
      </c>
      <c r="Y49" s="131">
        <f t="shared" ref="Y49:AK49" si="90">SUM(Y18:Y47)</f>
        <v>1140</v>
      </c>
      <c r="Z49" s="131">
        <f t="shared" si="90"/>
        <v>0</v>
      </c>
      <c r="AA49" s="131">
        <f t="shared" si="90"/>
        <v>1282.5</v>
      </c>
      <c r="AB49" s="131">
        <f t="shared" si="90"/>
        <v>0</v>
      </c>
      <c r="AC49" s="131">
        <f t="shared" si="90"/>
        <v>2422.5</v>
      </c>
      <c r="AD49" s="131">
        <f t="shared" si="90"/>
        <v>2850</v>
      </c>
      <c r="AE49" s="131">
        <f t="shared" si="90"/>
        <v>950</v>
      </c>
      <c r="AF49" s="131">
        <f t="shared" si="90"/>
        <v>200</v>
      </c>
      <c r="AG49" s="131">
        <f t="shared" si="90"/>
        <v>1282.5</v>
      </c>
      <c r="AH49" s="131">
        <f t="shared" si="90"/>
        <v>337.61812499999996</v>
      </c>
      <c r="AI49" s="131">
        <f t="shared" si="90"/>
        <v>5620.1181250000009</v>
      </c>
      <c r="AJ49" s="306">
        <f t="shared" si="90"/>
        <v>-3197.618125</v>
      </c>
      <c r="AK49" s="306">
        <f t="shared" si="90"/>
        <v>126.15300503547348</v>
      </c>
      <c r="AL49" s="502">
        <f>SUM(AJ49,AL17)</f>
        <v>-3729.7711300354736</v>
      </c>
      <c r="AM49" s="503">
        <f>SUM(AM17:AM48)</f>
        <v>-2563.1042400665924</v>
      </c>
      <c r="AN49" s="265"/>
      <c r="AO49" s="131">
        <f t="shared" ref="AO49:BD49" si="91">SUM(AO18:AO47)</f>
        <v>1140</v>
      </c>
      <c r="AP49" s="131">
        <f t="shared" si="91"/>
        <v>0</v>
      </c>
      <c r="AQ49" s="131">
        <f t="shared" si="91"/>
        <v>1282.5</v>
      </c>
      <c r="AR49" s="131">
        <f t="shared" si="91"/>
        <v>0</v>
      </c>
      <c r="AS49" s="131">
        <f t="shared" si="91"/>
        <v>2422.5</v>
      </c>
      <c r="AT49" s="131">
        <f t="shared" si="91"/>
        <v>1425</v>
      </c>
      <c r="AU49" s="131">
        <f t="shared" si="91"/>
        <v>1491.54</v>
      </c>
      <c r="AV49" s="131">
        <f t="shared" si="91"/>
        <v>661.56985074157035</v>
      </c>
      <c r="AW49" s="131">
        <f t="shared" si="91"/>
        <v>950</v>
      </c>
      <c r="AX49" s="131">
        <f t="shared" si="91"/>
        <v>195</v>
      </c>
      <c r="AY49" s="131">
        <f t="shared" si="91"/>
        <v>243.60000000000008</v>
      </c>
      <c r="AZ49" s="131">
        <f t="shared" si="91"/>
        <v>1282.5</v>
      </c>
      <c r="BA49" s="131">
        <f t="shared" si="91"/>
        <v>337.61812499999996</v>
      </c>
      <c r="BB49" s="131">
        <f t="shared" si="91"/>
        <v>6586.8279757415694</v>
      </c>
      <c r="BC49" s="306">
        <f t="shared" si="91"/>
        <v>-4164.3279757415703</v>
      </c>
      <c r="BD49" s="306">
        <f t="shared" si="91"/>
        <v>-2261.5234094083448</v>
      </c>
      <c r="BH49" s="131">
        <f t="shared" ref="BH49:BV49" si="92">SUM(BH18:BH47)</f>
        <v>1425</v>
      </c>
      <c r="BI49" s="131">
        <f t="shared" si="92"/>
        <v>1491.54</v>
      </c>
      <c r="BJ49" s="131">
        <f t="shared" si="92"/>
        <v>661.56985074157035</v>
      </c>
      <c r="BK49" s="131">
        <f t="shared" si="92"/>
        <v>950</v>
      </c>
      <c r="BL49" s="131">
        <f t="shared" si="92"/>
        <v>243.60000000000008</v>
      </c>
      <c r="BM49" s="131">
        <f t="shared" si="92"/>
        <v>0</v>
      </c>
      <c r="BN49" s="131">
        <f t="shared" si="92"/>
        <v>4771.7098507415722</v>
      </c>
      <c r="BO49" s="131">
        <f t="shared" si="92"/>
        <v>2850</v>
      </c>
      <c r="BP49" s="131">
        <f t="shared" si="92"/>
        <v>950</v>
      </c>
      <c r="BQ49" s="131">
        <f t="shared" si="92"/>
        <v>452.49131831392066</v>
      </c>
      <c r="BR49" s="131">
        <f t="shared" si="92"/>
        <v>276</v>
      </c>
      <c r="BS49" s="131">
        <f t="shared" si="92"/>
        <v>30</v>
      </c>
      <c r="BT49" s="131">
        <f t="shared" si="92"/>
        <v>4.1400000000000015</v>
      </c>
      <c r="BU49" s="131">
        <f t="shared" si="92"/>
        <v>4562.6313183139209</v>
      </c>
      <c r="BV49" s="131">
        <f t="shared" si="92"/>
        <v>209.07853242764958</v>
      </c>
      <c r="BX49" s="98"/>
      <c r="BY49" s="235">
        <f t="shared" ref="BY49" si="93">SUM(BY18:BY47)</f>
        <v>142.53853242764959</v>
      </c>
      <c r="BZ49" s="235">
        <f>SUM(BZ18:BZ48)</f>
        <v>0</v>
      </c>
      <c r="CA49" s="235">
        <f>SUM(CA18:CA48)</f>
        <v>1425</v>
      </c>
      <c r="CB49" s="235">
        <f>SUM(CB18:CB48)</f>
        <v>-1425.0000000000002</v>
      </c>
      <c r="CC49" s="235">
        <f t="shared" ref="CC49:CF49" si="94">SUM(CC18:CC48)</f>
        <v>18940.894237938919</v>
      </c>
      <c r="CD49" s="235">
        <f t="shared" si="94"/>
        <v>1232.1105089053376</v>
      </c>
      <c r="CE49" s="235">
        <f t="shared" si="94"/>
        <v>-142.53853242764956</v>
      </c>
      <c r="CF49" s="235">
        <f t="shared" si="94"/>
        <v>142.53853242764956</v>
      </c>
      <c r="CH49" s="21"/>
    </row>
    <row r="50" spans="1:86" ht="15.75" customHeight="1" x14ac:dyDescent="0.55000000000000004">
      <c r="E50" s="22"/>
      <c r="F50" s="22"/>
      <c r="O50" s="205"/>
      <c r="P50" s="205"/>
      <c r="V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D50" s="21"/>
      <c r="CH50" s="21"/>
    </row>
    <row r="51" spans="1:86" ht="15.75" customHeight="1" x14ac:dyDescent="0.55000000000000004">
      <c r="B51" s="223" t="s">
        <v>176</v>
      </c>
      <c r="E51" s="22" t="s">
        <v>55</v>
      </c>
      <c r="F51" s="22" t="s">
        <v>98</v>
      </c>
      <c r="O51" s="205"/>
      <c r="P51" s="205"/>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D51" s="21"/>
      <c r="CH51" s="21"/>
    </row>
    <row r="52" spans="1:86" ht="15.75" customHeight="1" x14ac:dyDescent="0.45">
      <c r="B52" s="223"/>
      <c r="C52" s="21" t="s">
        <v>177</v>
      </c>
      <c r="D52" s="191" t="s">
        <v>21</v>
      </c>
      <c r="E52" s="150"/>
      <c r="F52" s="412">
        <v>25</v>
      </c>
      <c r="T52" s="21"/>
      <c r="V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D52" s="21"/>
      <c r="CG52" s="21"/>
      <c r="CH52" s="21"/>
    </row>
    <row r="53" spans="1:86" ht="15.75" customHeight="1" x14ac:dyDescent="0.45">
      <c r="C53" s="21" t="s">
        <v>178</v>
      </c>
      <c r="D53" s="191" t="s">
        <v>21</v>
      </c>
      <c r="E53" s="150">
        <v>10</v>
      </c>
      <c r="F53" s="150">
        <v>6</v>
      </c>
      <c r="N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105"/>
      <c r="BZ53" s="105"/>
      <c r="CA53" s="105"/>
      <c r="CB53" s="105"/>
      <c r="CD53" s="21"/>
      <c r="CH53" s="21"/>
    </row>
    <row r="54" spans="1:86" ht="15.75" customHeight="1" x14ac:dyDescent="0.55000000000000004">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105"/>
      <c r="BZ54" s="105"/>
      <c r="CA54" s="105"/>
      <c r="CB54" s="105"/>
      <c r="CD54" s="21"/>
      <c r="CH54" s="21"/>
    </row>
    <row r="55" spans="1:86" ht="15.75" customHeight="1" x14ac:dyDescent="0.45">
      <c r="B55" s="223" t="s">
        <v>179</v>
      </c>
      <c r="D55" s="276" t="s">
        <v>269</v>
      </c>
      <c r="F55" s="150">
        <v>1</v>
      </c>
      <c r="G55" s="21">
        <v>0</v>
      </c>
      <c r="H55" s="21" t="s">
        <v>293</v>
      </c>
      <c r="J55" s="223" t="s">
        <v>179</v>
      </c>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105"/>
      <c r="BZ55" s="105"/>
      <c r="CA55" s="105"/>
      <c r="CB55" s="105"/>
      <c r="CD55" s="21"/>
      <c r="CH55" s="21"/>
    </row>
    <row r="56" spans="1:86" ht="15.75" customHeight="1" x14ac:dyDescent="0.45">
      <c r="G56" s="21">
        <v>1</v>
      </c>
      <c r="H56" s="21" t="s">
        <v>294</v>
      </c>
      <c r="M56" s="21" t="s">
        <v>181</v>
      </c>
      <c r="N56" s="191" t="s">
        <v>21</v>
      </c>
      <c r="O56" s="169"/>
      <c r="P56" s="288">
        <f>F138</f>
        <v>30</v>
      </c>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105"/>
      <c r="BZ56" s="105"/>
      <c r="CA56" s="105"/>
      <c r="CB56" s="105"/>
      <c r="CD56" s="21"/>
      <c r="CH56" s="21"/>
    </row>
    <row r="57" spans="1:86" ht="15.75" customHeight="1" x14ac:dyDescent="0.45">
      <c r="I57" s="295"/>
      <c r="M57" s="21" t="s">
        <v>182</v>
      </c>
      <c r="N57" s="191" t="s">
        <v>21</v>
      </c>
      <c r="O57" s="170"/>
      <c r="P57" s="132">
        <f>F139*$F$18</f>
        <v>36</v>
      </c>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105"/>
      <c r="BZ57" s="105"/>
      <c r="CA57" s="105"/>
      <c r="CB57" s="105"/>
      <c r="CD57" s="21"/>
    </row>
    <row r="58" spans="1:86" ht="15.75" customHeight="1" thickBot="1" x14ac:dyDescent="0.5">
      <c r="B58" s="52"/>
      <c r="D58" s="21"/>
      <c r="H58" s="119"/>
      <c r="M58" s="21" t="s">
        <v>183</v>
      </c>
      <c r="N58" s="191" t="s">
        <v>21</v>
      </c>
      <c r="O58" s="170"/>
      <c r="P58" s="132">
        <f>SUM(P107*F18, P105, P103)</f>
        <v>0.54</v>
      </c>
      <c r="Q58" s="21" t="s">
        <v>184</v>
      </c>
      <c r="BY58" s="21"/>
      <c r="BZ58" s="21"/>
      <c r="CA58" s="21"/>
      <c r="CB58" s="21"/>
      <c r="CD58" s="21"/>
    </row>
    <row r="59" spans="1:86" ht="15.75" customHeight="1" thickBot="1" x14ac:dyDescent="0.5">
      <c r="B59" s="119"/>
      <c r="D59" s="21"/>
      <c r="K59" s="133" t="s">
        <v>185</v>
      </c>
      <c r="L59" s="134"/>
      <c r="M59" s="134"/>
      <c r="N59" s="194" t="s">
        <v>21</v>
      </c>
      <c r="O59" s="171"/>
      <c r="P59" s="135">
        <f>SUM(P56:P58)*$F$55</f>
        <v>66.540000000000006</v>
      </c>
      <c r="Q59" s="21" t="s">
        <v>186</v>
      </c>
      <c r="BY59" s="21"/>
      <c r="BZ59" s="21"/>
      <c r="CA59" s="21"/>
      <c r="CB59" s="21"/>
      <c r="CD59" s="21"/>
    </row>
    <row r="60" spans="1:86" ht="15.75" customHeight="1" x14ac:dyDescent="0.45">
      <c r="B60" s="119"/>
      <c r="D60" s="21"/>
      <c r="M60" s="21" t="s">
        <v>187</v>
      </c>
      <c r="N60" s="191" t="s">
        <v>21</v>
      </c>
      <c r="O60" s="172"/>
      <c r="P60" s="148">
        <f>F139</f>
        <v>12</v>
      </c>
      <c r="BY60" s="21"/>
      <c r="BZ60" s="21"/>
      <c r="CA60" s="21"/>
      <c r="CB60" s="21"/>
      <c r="CD60" s="21"/>
    </row>
    <row r="61" spans="1:86" ht="15.75" customHeight="1" thickBot="1" x14ac:dyDescent="0.5">
      <c r="M61" s="21" t="s">
        <v>188</v>
      </c>
      <c r="N61" s="191" t="s">
        <v>21</v>
      </c>
      <c r="O61" s="172"/>
      <c r="P61" s="177">
        <f>P109</f>
        <v>0.18</v>
      </c>
      <c r="BY61" s="21"/>
      <c r="BZ61" s="21"/>
      <c r="CA61" s="21"/>
      <c r="CB61" s="21"/>
    </row>
    <row r="62" spans="1:86" ht="15.75" customHeight="1" thickBot="1" x14ac:dyDescent="0.5">
      <c r="A62" s="35"/>
      <c r="D62" s="21"/>
      <c r="K62" s="133" t="s">
        <v>189</v>
      </c>
      <c r="L62" s="134"/>
      <c r="M62" s="134"/>
      <c r="N62" s="194" t="s">
        <v>21</v>
      </c>
      <c r="O62" s="171"/>
      <c r="P62" s="135">
        <f>SUM(P60:P61)*$F$55</f>
        <v>12.18</v>
      </c>
      <c r="Q62" s="21" t="s">
        <v>190</v>
      </c>
      <c r="AL62" s="21"/>
    </row>
    <row r="63" spans="1:86" ht="15.75" customHeight="1" x14ac:dyDescent="0.55000000000000004">
      <c r="N63" s="21"/>
      <c r="AL63" s="21"/>
    </row>
    <row r="64" spans="1:86" ht="15.75" customHeight="1" x14ac:dyDescent="0.55000000000000004">
      <c r="B64" s="226" t="s">
        <v>270</v>
      </c>
      <c r="D64" s="21"/>
      <c r="J64" s="223" t="s">
        <v>192</v>
      </c>
      <c r="AL64" s="21"/>
    </row>
    <row r="65" spans="1:38" ht="15.75" customHeight="1" x14ac:dyDescent="0.45">
      <c r="C65" s="21" t="s">
        <v>193</v>
      </c>
      <c r="D65" s="191" t="s">
        <v>25</v>
      </c>
      <c r="F65" s="315">
        <v>0.95</v>
      </c>
      <c r="J65" s="223"/>
      <c r="K65" s="21" t="s">
        <v>59</v>
      </c>
      <c r="N65" s="191" t="s">
        <v>21</v>
      </c>
      <c r="O65" s="91">
        <f>O35/$F$65</f>
        <v>3000</v>
      </c>
      <c r="AL65" s="21"/>
    </row>
    <row r="66" spans="1:38" ht="15.75" customHeight="1" x14ac:dyDescent="0.45">
      <c r="C66" s="21" t="s">
        <v>194</v>
      </c>
      <c r="D66" s="191" t="s">
        <v>25</v>
      </c>
      <c r="F66" s="162">
        <f>事業費用概算!I31</f>
        <v>0.05</v>
      </c>
      <c r="J66" s="223"/>
      <c r="K66" s="21" t="s">
        <v>195</v>
      </c>
      <c r="N66" s="191" t="s">
        <v>21</v>
      </c>
      <c r="O66" s="321">
        <f>O46/$F$65*$F$19</f>
        <v>1000</v>
      </c>
      <c r="AL66" s="21"/>
    </row>
    <row r="67" spans="1:38" ht="15.75" customHeight="1" x14ac:dyDescent="0.45">
      <c r="C67" s="21" t="s">
        <v>196</v>
      </c>
      <c r="D67" s="191" t="s">
        <v>25</v>
      </c>
      <c r="F67" s="162">
        <f>事業費用概算!I32</f>
        <v>0.05</v>
      </c>
      <c r="J67" s="223"/>
      <c r="K67" s="241" t="s">
        <v>197</v>
      </c>
      <c r="L67" s="241"/>
      <c r="M67" s="241"/>
      <c r="N67" s="241" t="s">
        <v>21</v>
      </c>
      <c r="O67" s="322">
        <f>SUM(O65:O66)</f>
        <v>4000</v>
      </c>
      <c r="AL67" s="21"/>
    </row>
    <row r="68" spans="1:38" ht="15.75" customHeight="1" x14ac:dyDescent="0.45">
      <c r="O68" s="233"/>
      <c r="P68" s="234"/>
      <c r="AL68" s="21"/>
    </row>
    <row r="69" spans="1:38" ht="15.75" customHeight="1" thickBot="1" x14ac:dyDescent="0.6">
      <c r="A69" s="210" t="s">
        <v>31</v>
      </c>
      <c r="B69" s="225"/>
      <c r="C69" s="202"/>
      <c r="D69" s="203"/>
      <c r="E69" s="202"/>
      <c r="F69" s="202"/>
      <c r="G69" s="202"/>
      <c r="H69" s="202"/>
      <c r="I69" s="217" t="s">
        <v>31</v>
      </c>
      <c r="J69" s="225"/>
      <c r="K69" s="202"/>
      <c r="L69" s="202"/>
      <c r="M69" s="202"/>
      <c r="N69" s="203"/>
      <c r="O69" s="202"/>
      <c r="P69" s="202"/>
      <c r="Q69" s="202"/>
      <c r="R69" s="202"/>
      <c r="S69" s="202"/>
      <c r="T69" s="203"/>
      <c r="U69" s="202"/>
    </row>
    <row r="70" spans="1:38" ht="15.75" customHeight="1" x14ac:dyDescent="0.55000000000000004"/>
    <row r="71" spans="1:38" ht="15.75" customHeight="1" x14ac:dyDescent="0.55000000000000004">
      <c r="B71" s="228" t="s">
        <v>198</v>
      </c>
      <c r="C71" s="422"/>
      <c r="D71" s="21"/>
    </row>
    <row r="72" spans="1:38" ht="15.75" customHeight="1" x14ac:dyDescent="0.45">
      <c r="C72" s="21" t="s">
        <v>295</v>
      </c>
      <c r="D72" s="191" t="s">
        <v>21</v>
      </c>
      <c r="F72" s="150"/>
    </row>
    <row r="73" spans="1:38" ht="15.75" customHeight="1" x14ac:dyDescent="0.55000000000000004"/>
    <row r="74" spans="1:38" ht="15.75" customHeight="1" thickBot="1" x14ac:dyDescent="0.6">
      <c r="A74" s="210" t="s">
        <v>35</v>
      </c>
      <c r="B74" s="225"/>
      <c r="C74" s="202"/>
      <c r="D74" s="203"/>
      <c r="E74" s="202"/>
      <c r="F74" s="202"/>
      <c r="G74" s="202"/>
      <c r="H74" s="202"/>
      <c r="I74" s="217" t="s">
        <v>35</v>
      </c>
      <c r="J74" s="225"/>
      <c r="K74" s="202"/>
      <c r="L74" s="202"/>
      <c r="M74" s="202"/>
      <c r="N74" s="203"/>
      <c r="O74" s="202"/>
      <c r="P74" s="202"/>
      <c r="Q74" s="202"/>
      <c r="R74" s="202"/>
      <c r="S74" s="202"/>
      <c r="T74" s="203"/>
      <c r="U74" s="202"/>
    </row>
    <row r="75" spans="1:38" ht="15.75" customHeight="1" x14ac:dyDescent="0.55000000000000004"/>
    <row r="76" spans="1:38" ht="15.75" customHeight="1" x14ac:dyDescent="0.55000000000000004">
      <c r="A76" s="35"/>
      <c r="B76" s="223" t="s">
        <v>199</v>
      </c>
      <c r="C76" s="422"/>
      <c r="D76" s="25"/>
      <c r="E76" s="25" t="s">
        <v>18</v>
      </c>
      <c r="F76" s="25" t="s">
        <v>200</v>
      </c>
      <c r="I76" s="214"/>
      <c r="J76" s="223" t="s">
        <v>199</v>
      </c>
      <c r="O76" s="21" t="s">
        <v>55</v>
      </c>
      <c r="P76" s="21" t="s">
        <v>98</v>
      </c>
      <c r="V76" s="295"/>
    </row>
    <row r="77" spans="1:38" ht="15.75" customHeight="1" x14ac:dyDescent="0.45">
      <c r="C77" s="21" t="s">
        <v>296</v>
      </c>
      <c r="D77" s="191" t="s">
        <v>21</v>
      </c>
      <c r="E77" s="143">
        <f>O79</f>
        <v>1282.5</v>
      </c>
      <c r="F77" s="143">
        <f>P79</f>
        <v>1282.5</v>
      </c>
      <c r="K77" s="21" t="s">
        <v>202</v>
      </c>
      <c r="N77" s="191" t="s">
        <v>21</v>
      </c>
      <c r="O77" s="178">
        <f>O32</f>
        <v>2850</v>
      </c>
      <c r="P77" s="178">
        <f>P32</f>
        <v>2850</v>
      </c>
      <c r="V77" s="295"/>
    </row>
    <row r="78" spans="1:38" ht="15.75" customHeight="1" x14ac:dyDescent="0.45">
      <c r="C78" s="21" t="s">
        <v>297</v>
      </c>
      <c r="D78" s="191" t="s">
        <v>25</v>
      </c>
      <c r="F78" s="163">
        <v>0.4</v>
      </c>
      <c r="K78" s="21" t="s">
        <v>110</v>
      </c>
      <c r="N78" s="191" t="s">
        <v>21</v>
      </c>
      <c r="O78" s="168">
        <f>O77*$F$78</f>
        <v>1140</v>
      </c>
      <c r="P78" s="168">
        <f>P77*$F$78</f>
        <v>1140</v>
      </c>
      <c r="V78" s="295"/>
    </row>
    <row r="79" spans="1:38" ht="15.75" customHeight="1" x14ac:dyDescent="0.45">
      <c r="C79" s="21" t="s">
        <v>298</v>
      </c>
      <c r="D79" s="191" t="s">
        <v>25</v>
      </c>
      <c r="F79" s="157">
        <v>0</v>
      </c>
      <c r="K79" s="21" t="s">
        <v>205</v>
      </c>
      <c r="N79" s="191" t="s">
        <v>21</v>
      </c>
      <c r="O79" s="168">
        <f>(O77-O78)*$F$80</f>
        <v>1282.5</v>
      </c>
      <c r="P79" s="168">
        <f t="shared" ref="P79" si="95">(P77-P78)*$F$80</f>
        <v>1282.5</v>
      </c>
      <c r="V79" s="295"/>
    </row>
    <row r="80" spans="1:38" ht="20.25" customHeight="1" x14ac:dyDescent="0.45">
      <c r="C80" s="21" t="s">
        <v>299</v>
      </c>
      <c r="D80" s="191" t="s">
        <v>25</v>
      </c>
      <c r="F80" s="157">
        <v>0.75</v>
      </c>
      <c r="K80" s="21" t="s">
        <v>207</v>
      </c>
      <c r="N80" s="191" t="s">
        <v>21</v>
      </c>
      <c r="O80" s="168">
        <f>O79*$F$79</f>
        <v>0</v>
      </c>
      <c r="P80" s="168">
        <f>P79*$F$79</f>
        <v>0</v>
      </c>
      <c r="V80" s="295"/>
    </row>
    <row r="81" spans="1:102" ht="15.75" customHeight="1" x14ac:dyDescent="0.45">
      <c r="C81" s="21" t="s">
        <v>300</v>
      </c>
      <c r="D81" s="191" t="s">
        <v>14</v>
      </c>
      <c r="F81" s="150">
        <v>20</v>
      </c>
      <c r="K81" s="252" t="s">
        <v>209</v>
      </c>
      <c r="L81" s="250"/>
      <c r="M81" s="250"/>
      <c r="N81" s="191" t="s">
        <v>21</v>
      </c>
      <c r="O81" s="168">
        <f>O77-SUM(O78:O80)</f>
        <v>427.5</v>
      </c>
      <c r="P81" s="168">
        <f>P77-SUM(P78:P80)</f>
        <v>427.5</v>
      </c>
      <c r="V81" s="295"/>
    </row>
    <row r="82" spans="1:102" ht="15.75" customHeight="1" x14ac:dyDescent="0.45">
      <c r="C82" s="21" t="s">
        <v>210</v>
      </c>
      <c r="D82" s="191" t="s">
        <v>211</v>
      </c>
      <c r="F82" s="150">
        <v>3</v>
      </c>
      <c r="K82" s="21" t="s">
        <v>212</v>
      </c>
      <c r="N82" s="191" t="s">
        <v>21</v>
      </c>
      <c r="O82" s="168">
        <f>O79/$F$81</f>
        <v>64.125</v>
      </c>
      <c r="P82" s="168">
        <f>P79/$F$81</f>
        <v>64.125</v>
      </c>
      <c r="T82" s="21"/>
      <c r="V82" s="22"/>
      <c r="Y82" s="21"/>
      <c r="Z82" s="21"/>
      <c r="AA82" s="22"/>
      <c r="AB82" s="22"/>
      <c r="AC82" s="22"/>
      <c r="AD82" s="22"/>
      <c r="AE82" s="22"/>
      <c r="AF82" s="22"/>
      <c r="AG82" s="22"/>
      <c r="AH82" s="22"/>
      <c r="AI82" s="22"/>
      <c r="AJ82" s="22"/>
      <c r="AK82" s="26"/>
      <c r="AL82" s="26"/>
      <c r="AM82" s="26"/>
      <c r="AO82" s="26"/>
      <c r="AP82" s="22"/>
      <c r="AQ82" s="22"/>
      <c r="AR82" s="22"/>
      <c r="AS82" s="22"/>
      <c r="AT82" s="22"/>
      <c r="AU82" s="22"/>
      <c r="AV82" s="22"/>
      <c r="AW82" s="22"/>
      <c r="AX82" s="22"/>
      <c r="AY82" s="22"/>
      <c r="AZ82" s="22"/>
      <c r="BA82" s="22"/>
      <c r="BB82" s="22"/>
      <c r="BC82" s="22"/>
      <c r="BD82" s="22"/>
      <c r="BH82" s="22"/>
      <c r="BI82" s="22"/>
      <c r="BJ82" s="22"/>
      <c r="BK82" s="22"/>
      <c r="BL82" s="22"/>
      <c r="BM82" s="22"/>
      <c r="BN82" s="22"/>
      <c r="BO82" s="22"/>
      <c r="BP82" s="22"/>
      <c r="BQ82" s="22"/>
      <c r="BR82" s="22"/>
      <c r="BS82" s="22"/>
      <c r="BT82" s="22"/>
      <c r="BU82" s="22"/>
      <c r="BV82" s="22"/>
      <c r="CG82" s="21"/>
      <c r="CH82" s="21"/>
    </row>
    <row r="83" spans="1:102" ht="15.75" customHeight="1" x14ac:dyDescent="0.45">
      <c r="C83" s="21" t="s">
        <v>301</v>
      </c>
      <c r="D83" s="191" t="s">
        <v>25</v>
      </c>
      <c r="F83" s="153">
        <v>1.95E-2</v>
      </c>
      <c r="K83" s="21" t="s">
        <v>214</v>
      </c>
      <c r="N83" s="191" t="s">
        <v>215</v>
      </c>
      <c r="O83" s="168">
        <f>$F82+$F$18</f>
        <v>6</v>
      </c>
      <c r="P83" s="168">
        <f>$F82+$F$18</f>
        <v>6</v>
      </c>
      <c r="V83" s="295"/>
    </row>
    <row r="84" spans="1:102" ht="15.75" customHeight="1" x14ac:dyDescent="0.55000000000000004">
      <c r="V84" s="295"/>
    </row>
    <row r="85" spans="1:102" ht="15.75" customHeight="1" x14ac:dyDescent="0.55000000000000004">
      <c r="V85" s="295"/>
    </row>
    <row r="86" spans="1:102" ht="15.75" customHeight="1" x14ac:dyDescent="0.55000000000000004">
      <c r="A86" s="35"/>
      <c r="B86" s="223" t="s">
        <v>302</v>
      </c>
      <c r="C86" s="422"/>
      <c r="D86" s="25"/>
      <c r="F86" s="25" t="s">
        <v>200</v>
      </c>
      <c r="I86" s="214"/>
      <c r="J86" s="223" t="s">
        <v>302</v>
      </c>
      <c r="P86" s="21" t="s">
        <v>98</v>
      </c>
      <c r="V86" s="295"/>
    </row>
    <row r="87" spans="1:102" ht="15.75" customHeight="1" x14ac:dyDescent="0.55000000000000004">
      <c r="C87" s="21" t="s">
        <v>201</v>
      </c>
      <c r="D87" s="191" t="s">
        <v>21</v>
      </c>
      <c r="F87" s="143">
        <f>P34</f>
        <v>1425</v>
      </c>
      <c r="K87" s="21" t="s">
        <v>217</v>
      </c>
      <c r="N87" s="191" t="s">
        <v>25</v>
      </c>
      <c r="O87" s="22"/>
      <c r="P87" s="136">
        <f>SUM(F88:F89)</f>
        <v>2.7833999999999998E-2</v>
      </c>
    </row>
    <row r="88" spans="1:102" ht="15.75" customHeight="1" x14ac:dyDescent="0.45">
      <c r="C88" s="21" t="s">
        <v>164</v>
      </c>
      <c r="D88" s="191" t="s">
        <v>25</v>
      </c>
      <c r="F88" s="153">
        <v>1.7833999999999999E-2</v>
      </c>
    </row>
    <row r="89" spans="1:102" ht="15.75" customHeight="1" x14ac:dyDescent="0.45">
      <c r="C89" s="21" t="s">
        <v>218</v>
      </c>
      <c r="D89" s="191" t="s">
        <v>25</v>
      </c>
      <c r="F89" s="164">
        <v>0.01</v>
      </c>
    </row>
    <row r="90" spans="1:102" ht="15.75" customHeight="1" x14ac:dyDescent="0.45">
      <c r="C90" s="21" t="s">
        <v>303</v>
      </c>
      <c r="D90" s="191" t="s">
        <v>21</v>
      </c>
      <c r="F90" s="150">
        <v>66</v>
      </c>
    </row>
    <row r="91" spans="1:102" ht="15.75" customHeight="1" x14ac:dyDescent="0.45">
      <c r="C91" s="21" t="s">
        <v>304</v>
      </c>
      <c r="D91" s="276" t="s">
        <v>269</v>
      </c>
      <c r="F91" s="150">
        <v>1</v>
      </c>
      <c r="G91" s="119" t="s">
        <v>305</v>
      </c>
      <c r="H91" s="21" t="s">
        <v>306</v>
      </c>
    </row>
    <row r="92" spans="1:102" ht="15.75" customHeight="1" x14ac:dyDescent="0.55000000000000004">
      <c r="G92" s="119">
        <v>1</v>
      </c>
      <c r="H92" s="21" t="s">
        <v>307</v>
      </c>
      <c r="V92" s="295"/>
    </row>
    <row r="93" spans="1:102" ht="15.75" customHeight="1" thickBot="1" x14ac:dyDescent="0.6">
      <c r="A93" s="210" t="s">
        <v>43</v>
      </c>
      <c r="B93" s="225"/>
      <c r="C93" s="202"/>
      <c r="D93" s="203"/>
      <c r="E93" s="202"/>
      <c r="F93" s="202"/>
      <c r="G93" s="202"/>
      <c r="H93" s="202"/>
      <c r="I93" s="217" t="s">
        <v>43</v>
      </c>
      <c r="J93" s="225"/>
      <c r="K93" s="202"/>
      <c r="L93" s="202"/>
      <c r="M93" s="202"/>
      <c r="N93" s="203"/>
      <c r="O93" s="202"/>
      <c r="P93" s="202"/>
      <c r="Q93" s="202"/>
      <c r="R93" s="202"/>
      <c r="S93" s="202"/>
      <c r="T93" s="202"/>
      <c r="U93" s="202"/>
      <c r="AK93" s="24"/>
      <c r="AL93" s="24"/>
      <c r="AN93" s="25"/>
      <c r="AO93" s="26"/>
      <c r="AP93" s="25"/>
      <c r="BE93" s="24"/>
      <c r="BF93" s="24"/>
      <c r="BH93" s="26"/>
      <c r="BI93" s="22"/>
      <c r="BW93" s="24"/>
      <c r="BX93" s="24"/>
      <c r="CG93" s="24"/>
      <c r="CH93" s="24"/>
      <c r="CI93" s="24"/>
      <c r="CJ93" s="24"/>
      <c r="CK93" s="22"/>
      <c r="CL93" s="24"/>
      <c r="CM93" s="24"/>
      <c r="CN93" s="24"/>
      <c r="CO93" s="24"/>
      <c r="CP93" s="24"/>
      <c r="CQ93" s="22"/>
      <c r="CR93" s="24"/>
      <c r="CS93" s="24"/>
      <c r="CT93" s="22"/>
      <c r="CU93" s="22"/>
      <c r="CV93" s="22"/>
      <c r="CW93" s="22"/>
      <c r="CX93" s="22"/>
    </row>
    <row r="94" spans="1:102" ht="15.75" customHeight="1" x14ac:dyDescent="0.55000000000000004">
      <c r="V94" s="295"/>
    </row>
    <row r="95" spans="1:102" ht="15.75" customHeight="1" x14ac:dyDescent="0.55000000000000004">
      <c r="A95" s="207"/>
      <c r="B95" s="223" t="s">
        <v>220</v>
      </c>
      <c r="C95" s="422"/>
      <c r="I95" s="214"/>
      <c r="J95" s="223" t="s">
        <v>220</v>
      </c>
      <c r="N95" s="21"/>
      <c r="T95" s="21"/>
      <c r="AK95" s="24"/>
      <c r="AL95" s="24"/>
      <c r="AN95" s="25"/>
      <c r="AO95" s="26"/>
      <c r="AP95" s="25"/>
      <c r="BE95" s="24"/>
      <c r="BF95" s="24"/>
      <c r="BH95" s="26"/>
      <c r="BI95" s="22"/>
      <c r="BW95" s="24"/>
      <c r="BX95" s="24"/>
      <c r="CG95" s="24"/>
      <c r="CH95" s="24"/>
      <c r="CI95" s="24"/>
      <c r="CJ95" s="24"/>
      <c r="CK95" s="22"/>
      <c r="CL95" s="24"/>
      <c r="CM95" s="24"/>
      <c r="CN95" s="24"/>
      <c r="CO95" s="24"/>
      <c r="CP95" s="24"/>
      <c r="CQ95" s="22"/>
      <c r="CR95" s="24"/>
      <c r="CS95" s="24"/>
      <c r="CT95" s="22"/>
      <c r="CU95" s="22"/>
      <c r="CV95" s="22"/>
      <c r="CW95" s="22"/>
      <c r="CX95" s="22"/>
    </row>
    <row r="96" spans="1:102" ht="15.75" customHeight="1" x14ac:dyDescent="0.45">
      <c r="A96" s="35"/>
      <c r="C96" s="21" t="s">
        <v>221</v>
      </c>
      <c r="D96" s="191" t="s">
        <v>21</v>
      </c>
      <c r="F96" s="327">
        <v>0</v>
      </c>
      <c r="J96" s="35"/>
      <c r="K96" s="21" t="s">
        <v>222</v>
      </c>
      <c r="N96" s="191" t="s">
        <v>21</v>
      </c>
      <c r="O96" s="122"/>
      <c r="P96" s="143">
        <f>F96</f>
        <v>0</v>
      </c>
      <c r="T96" s="21"/>
    </row>
    <row r="97" spans="1:102" ht="15.75" customHeight="1" x14ac:dyDescent="0.45">
      <c r="C97" s="21" t="s">
        <v>395</v>
      </c>
      <c r="D97" s="191" t="s">
        <v>25</v>
      </c>
      <c r="F97" s="179">
        <f>ROUND(23.2%/(1+(1.18%+1%*260%)),4)</f>
        <v>0.2235</v>
      </c>
      <c r="K97" s="21" t="s">
        <v>224</v>
      </c>
      <c r="N97" s="191" t="s">
        <v>25</v>
      </c>
      <c r="O97" s="122"/>
      <c r="P97" s="283">
        <f>F97</f>
        <v>0.2235</v>
      </c>
      <c r="T97" s="21"/>
    </row>
    <row r="98" spans="1:102" ht="15.75" customHeight="1" x14ac:dyDescent="0.55000000000000004">
      <c r="C98" s="21" t="s">
        <v>225</v>
      </c>
      <c r="K98" s="241" t="s">
        <v>226</v>
      </c>
      <c r="L98" s="241"/>
      <c r="M98" s="241"/>
      <c r="N98" s="242" t="s">
        <v>21</v>
      </c>
      <c r="O98" s="281"/>
      <c r="P98" s="284">
        <f>P96*P97</f>
        <v>0</v>
      </c>
      <c r="T98" s="21"/>
    </row>
    <row r="99" spans="1:102" ht="15.75" customHeight="1" x14ac:dyDescent="0.45">
      <c r="C99" s="21" t="s">
        <v>226</v>
      </c>
      <c r="D99" s="191" t="s">
        <v>21</v>
      </c>
      <c r="F99" s="165">
        <v>0.18</v>
      </c>
      <c r="H99" s="21" t="s">
        <v>227</v>
      </c>
      <c r="O99" s="122"/>
      <c r="P99" s="92"/>
      <c r="T99" s="21"/>
    </row>
    <row r="100" spans="1:102" ht="15.75" customHeight="1" x14ac:dyDescent="0.55000000000000004">
      <c r="D100" s="21"/>
      <c r="K100" s="21" t="s">
        <v>225</v>
      </c>
      <c r="O100" s="122"/>
      <c r="P100" s="185">
        <f>F99</f>
        <v>0.18</v>
      </c>
      <c r="T100" s="21"/>
    </row>
    <row r="101" spans="1:102" ht="15.75" customHeight="1" x14ac:dyDescent="0.55000000000000004">
      <c r="O101" s="122"/>
      <c r="T101" s="21"/>
      <c r="W101" s="138"/>
      <c r="BY101" s="21"/>
      <c r="BZ101" s="21"/>
      <c r="CA101" s="21"/>
      <c r="CB101" s="21"/>
      <c r="CC101" s="21"/>
      <c r="CD101" s="21"/>
    </row>
    <row r="102" spans="1:102" ht="15.75" customHeight="1" x14ac:dyDescent="0.55000000000000004">
      <c r="A102" s="207"/>
      <c r="B102" s="223" t="s">
        <v>228</v>
      </c>
      <c r="C102" s="423"/>
      <c r="I102" s="214"/>
      <c r="J102" s="223" t="s">
        <v>228</v>
      </c>
      <c r="N102" s="21"/>
      <c r="P102" s="92"/>
      <c r="T102" s="21"/>
      <c r="AK102" s="24"/>
      <c r="AL102" s="24"/>
      <c r="AN102" s="25"/>
      <c r="AO102" s="26"/>
      <c r="AP102" s="25"/>
      <c r="BE102" s="24"/>
      <c r="BF102" s="24"/>
      <c r="BH102" s="26"/>
      <c r="BI102" s="22"/>
      <c r="BW102" s="24"/>
      <c r="BX102" s="24"/>
      <c r="CG102" s="24"/>
      <c r="CH102" s="24"/>
      <c r="CI102" s="24"/>
      <c r="CJ102" s="24"/>
      <c r="CK102" s="22"/>
      <c r="CL102" s="24"/>
      <c r="CM102" s="24"/>
      <c r="CN102" s="24"/>
      <c r="CO102" s="24"/>
      <c r="CP102" s="24"/>
      <c r="CQ102" s="22"/>
      <c r="CR102" s="24"/>
      <c r="CS102" s="24"/>
      <c r="CT102" s="22"/>
      <c r="CU102" s="22"/>
      <c r="CV102" s="22"/>
      <c r="CW102" s="22"/>
      <c r="CX102" s="22"/>
    </row>
    <row r="103" spans="1:102" ht="15.75" customHeight="1" x14ac:dyDescent="0.45">
      <c r="C103" s="21" t="s">
        <v>229</v>
      </c>
      <c r="K103" s="21" t="s">
        <v>229</v>
      </c>
      <c r="N103" s="191" t="s">
        <v>21</v>
      </c>
      <c r="O103" s="122"/>
      <c r="P103" s="168">
        <f>F104*F105</f>
        <v>0</v>
      </c>
      <c r="T103" s="21"/>
    </row>
    <row r="104" spans="1:102" ht="15.75" customHeight="1" x14ac:dyDescent="0.45">
      <c r="C104" s="21" t="s">
        <v>230</v>
      </c>
      <c r="D104" s="191" t="s">
        <v>21</v>
      </c>
      <c r="F104" s="165">
        <v>0</v>
      </c>
      <c r="H104" s="21" t="s">
        <v>308</v>
      </c>
      <c r="K104" s="21" t="s">
        <v>231</v>
      </c>
      <c r="N104" s="191" t="s">
        <v>21</v>
      </c>
      <c r="O104" s="122"/>
      <c r="P104" s="168">
        <f>F107*F108</f>
        <v>0</v>
      </c>
      <c r="T104" s="21"/>
    </row>
    <row r="105" spans="1:102" ht="15.75" customHeight="1" x14ac:dyDescent="0.45">
      <c r="C105" s="21" t="s">
        <v>224</v>
      </c>
      <c r="D105" s="191" t="s">
        <v>25</v>
      </c>
      <c r="F105" s="166"/>
      <c r="H105" s="21" t="s">
        <v>232</v>
      </c>
      <c r="K105" s="21" t="s">
        <v>233</v>
      </c>
      <c r="N105" s="191" t="s">
        <v>21</v>
      </c>
      <c r="O105" s="122"/>
      <c r="P105" s="168">
        <f>F110*F111</f>
        <v>0</v>
      </c>
      <c r="T105" s="21"/>
    </row>
    <row r="106" spans="1:102" ht="15.75" customHeight="1" x14ac:dyDescent="0.55000000000000004">
      <c r="C106" s="21" t="s">
        <v>234</v>
      </c>
      <c r="O106" s="122"/>
      <c r="P106" s="92"/>
      <c r="T106" s="21"/>
    </row>
    <row r="107" spans="1:102" ht="15.75" customHeight="1" x14ac:dyDescent="0.45">
      <c r="C107" s="21" t="s">
        <v>230</v>
      </c>
      <c r="D107" s="191" t="s">
        <v>21</v>
      </c>
      <c r="F107" s="165"/>
      <c r="H107" s="21" t="s">
        <v>308</v>
      </c>
      <c r="K107" s="21" t="s">
        <v>235</v>
      </c>
      <c r="N107" s="191" t="s">
        <v>21</v>
      </c>
      <c r="O107" s="122"/>
      <c r="P107" s="174">
        <f>P100</f>
        <v>0.18</v>
      </c>
      <c r="T107" s="21"/>
    </row>
    <row r="108" spans="1:102" ht="15.75" customHeight="1" x14ac:dyDescent="0.45">
      <c r="C108" s="21" t="s">
        <v>224</v>
      </c>
      <c r="D108" s="191" t="s">
        <v>25</v>
      </c>
      <c r="F108" s="166"/>
      <c r="H108" s="21" t="s">
        <v>232</v>
      </c>
      <c r="K108" s="21" t="s">
        <v>252</v>
      </c>
      <c r="N108" s="191" t="s">
        <v>25</v>
      </c>
      <c r="O108" s="122"/>
      <c r="P108" s="173">
        <f>SUM(P98,P100,P103,P105,P104)</f>
        <v>0.18</v>
      </c>
      <c r="T108" s="21"/>
    </row>
    <row r="109" spans="1:102" ht="15.75" customHeight="1" x14ac:dyDescent="0.45">
      <c r="C109" s="21" t="s">
        <v>233</v>
      </c>
      <c r="K109" s="21" t="s">
        <v>237</v>
      </c>
      <c r="N109" s="191" t="s">
        <v>21</v>
      </c>
      <c r="O109" s="122"/>
      <c r="P109" s="173">
        <f>SUM(P98,P100,P104)</f>
        <v>0.18</v>
      </c>
      <c r="T109" s="21"/>
    </row>
    <row r="110" spans="1:102" x14ac:dyDescent="0.45">
      <c r="C110" s="21" t="s">
        <v>230</v>
      </c>
      <c r="D110" s="191" t="s">
        <v>21</v>
      </c>
      <c r="F110" s="165">
        <v>0</v>
      </c>
      <c r="H110" s="21" t="s">
        <v>308</v>
      </c>
      <c r="O110" s="122"/>
      <c r="T110" s="21"/>
    </row>
    <row r="111" spans="1:102" ht="18" customHeight="1" x14ac:dyDescent="0.45">
      <c r="C111" s="21" t="s">
        <v>224</v>
      </c>
      <c r="D111" s="191" t="s">
        <v>25</v>
      </c>
      <c r="F111" s="166"/>
      <c r="H111" s="21" t="s">
        <v>232</v>
      </c>
      <c r="O111" s="122"/>
    </row>
    <row r="112" spans="1:102" x14ac:dyDescent="0.55000000000000004">
      <c r="O112" s="122"/>
    </row>
    <row r="113" spans="1:102" ht="15.75" customHeight="1" x14ac:dyDescent="0.55000000000000004">
      <c r="A113" s="207"/>
      <c r="B113" s="223" t="s">
        <v>238</v>
      </c>
      <c r="C113" s="423"/>
      <c r="I113" s="214"/>
      <c r="J113" s="223" t="s">
        <v>238</v>
      </c>
      <c r="N113" s="21"/>
      <c r="P113" s="35" t="s">
        <v>239</v>
      </c>
      <c r="T113" s="21"/>
      <c r="AK113" s="24"/>
      <c r="AL113" s="24"/>
      <c r="AN113" s="25"/>
      <c r="AO113" s="26"/>
      <c r="AP113" s="25"/>
      <c r="BE113" s="24"/>
      <c r="BF113" s="24"/>
      <c r="BH113" s="26"/>
      <c r="BI113" s="22"/>
      <c r="BW113" s="24"/>
      <c r="BX113" s="24"/>
      <c r="CG113" s="24"/>
      <c r="CH113" s="24"/>
      <c r="CI113" s="24"/>
      <c r="CJ113" s="24"/>
      <c r="CK113" s="22"/>
      <c r="CL113" s="24"/>
      <c r="CM113" s="24"/>
      <c r="CN113" s="24"/>
      <c r="CO113" s="24"/>
      <c r="CP113" s="24"/>
      <c r="CQ113" s="22"/>
      <c r="CR113" s="24"/>
      <c r="CS113" s="24"/>
      <c r="CT113" s="22"/>
      <c r="CU113" s="22"/>
      <c r="CV113" s="22"/>
      <c r="CW113" s="22"/>
      <c r="CX113" s="22"/>
    </row>
    <row r="114" spans="1:102" x14ac:dyDescent="0.55000000000000004">
      <c r="C114" s="21" t="s">
        <v>239</v>
      </c>
      <c r="K114" s="21" t="s">
        <v>230</v>
      </c>
      <c r="N114" s="191" t="s">
        <v>21</v>
      </c>
      <c r="P114" s="143">
        <f>F115</f>
        <v>0</v>
      </c>
    </row>
    <row r="115" spans="1:102" x14ac:dyDescent="0.45">
      <c r="C115" s="21" t="s">
        <v>230</v>
      </c>
      <c r="D115" s="191" t="s">
        <v>21</v>
      </c>
      <c r="F115" s="327"/>
      <c r="K115" s="21" t="s">
        <v>224</v>
      </c>
      <c r="N115" s="191" t="s">
        <v>25</v>
      </c>
      <c r="P115" s="283">
        <f>F116</f>
        <v>3.6400000000000002E-2</v>
      </c>
    </row>
    <row r="116" spans="1:102" x14ac:dyDescent="0.45">
      <c r="C116" s="21" t="s">
        <v>396</v>
      </c>
      <c r="D116" s="191" t="s">
        <v>25</v>
      </c>
      <c r="F116" s="179">
        <f>ROUND((1.18%+(1%*260%))/(1+(1.18%+1%*260%)),4)</f>
        <v>3.6400000000000002E-2</v>
      </c>
      <c r="H116" s="21" t="s">
        <v>240</v>
      </c>
      <c r="K116" s="241" t="s">
        <v>226</v>
      </c>
      <c r="L116" s="241"/>
      <c r="M116" s="241"/>
      <c r="N116" s="242" t="s">
        <v>21</v>
      </c>
      <c r="O116" s="335"/>
      <c r="P116" s="284">
        <f>P114*P115</f>
        <v>0</v>
      </c>
      <c r="T116" s="21"/>
    </row>
    <row r="117" spans="1:102" x14ac:dyDescent="0.55000000000000004">
      <c r="C117" s="21" t="s">
        <v>241</v>
      </c>
      <c r="N117" s="21"/>
      <c r="T117" s="21"/>
    </row>
    <row r="118" spans="1:102" x14ac:dyDescent="0.45">
      <c r="C118" s="21" t="s">
        <v>242</v>
      </c>
      <c r="D118" s="191" t="s">
        <v>21</v>
      </c>
      <c r="F118" s="327"/>
      <c r="O118" s="191"/>
      <c r="P118" s="35" t="s">
        <v>243</v>
      </c>
      <c r="T118" s="21"/>
    </row>
    <row r="119" spans="1:102" x14ac:dyDescent="0.45">
      <c r="C119" s="21" t="s">
        <v>397</v>
      </c>
      <c r="D119" s="191" t="s">
        <v>25</v>
      </c>
      <c r="F119" s="199">
        <v>0</v>
      </c>
      <c r="H119" s="21" t="s">
        <v>398</v>
      </c>
      <c r="K119" s="21" t="s">
        <v>230</v>
      </c>
      <c r="N119" s="191" t="s">
        <v>21</v>
      </c>
      <c r="O119" s="191"/>
      <c r="P119" s="143">
        <f>F118</f>
        <v>0</v>
      </c>
      <c r="T119" s="21"/>
    </row>
    <row r="120" spans="1:102" x14ac:dyDescent="0.55000000000000004">
      <c r="C120" s="21" t="s">
        <v>244</v>
      </c>
      <c r="K120" s="21" t="s">
        <v>224</v>
      </c>
      <c r="N120" s="191" t="s">
        <v>25</v>
      </c>
      <c r="O120" s="191"/>
      <c r="P120" s="146">
        <f>F119</f>
        <v>0</v>
      </c>
    </row>
    <row r="121" spans="1:102" x14ac:dyDescent="0.45">
      <c r="C121" s="21" t="s">
        <v>242</v>
      </c>
      <c r="D121" s="191" t="s">
        <v>21</v>
      </c>
      <c r="F121" s="327"/>
      <c r="K121" s="241" t="s">
        <v>226</v>
      </c>
      <c r="L121" s="241"/>
      <c r="M121" s="241"/>
      <c r="N121" s="242" t="s">
        <v>21</v>
      </c>
      <c r="O121" s="335"/>
      <c r="P121" s="284">
        <f>P119*P120</f>
        <v>0</v>
      </c>
    </row>
    <row r="122" spans="1:102" x14ac:dyDescent="0.45">
      <c r="C122" s="21" t="s">
        <v>397</v>
      </c>
      <c r="D122" s="191" t="s">
        <v>25</v>
      </c>
      <c r="F122" s="179">
        <f>ROUND((23.2%*(10.4%+10.3%+4%))/(1+(1.18%+1%*260%)),4)</f>
        <v>5.5199999999999999E-2</v>
      </c>
      <c r="H122" s="21" t="s">
        <v>245</v>
      </c>
      <c r="N122" s="21"/>
    </row>
    <row r="123" spans="1:102" x14ac:dyDescent="0.55000000000000004">
      <c r="O123" s="191"/>
      <c r="P123" s="35" t="s">
        <v>246</v>
      </c>
    </row>
    <row r="124" spans="1:102" x14ac:dyDescent="0.45">
      <c r="C124" s="21" t="s">
        <v>309</v>
      </c>
      <c r="D124" s="191" t="s">
        <v>21</v>
      </c>
      <c r="F124" s="328"/>
      <c r="K124" s="21" t="s">
        <v>230</v>
      </c>
      <c r="N124" s="191" t="s">
        <v>21</v>
      </c>
      <c r="O124" s="191"/>
      <c r="P124" s="143">
        <f>F121</f>
        <v>0</v>
      </c>
    </row>
    <row r="125" spans="1:102" x14ac:dyDescent="0.45">
      <c r="C125" s="21" t="s">
        <v>310</v>
      </c>
      <c r="D125" s="191" t="s">
        <v>21</v>
      </c>
      <c r="F125" s="328"/>
      <c r="K125" s="21" t="s">
        <v>224</v>
      </c>
      <c r="N125" s="191" t="s">
        <v>25</v>
      </c>
      <c r="O125" s="191"/>
      <c r="P125" s="283">
        <f>F122</f>
        <v>5.5199999999999999E-2</v>
      </c>
    </row>
    <row r="126" spans="1:102" x14ac:dyDescent="0.55000000000000004">
      <c r="K126" s="241" t="s">
        <v>226</v>
      </c>
      <c r="L126" s="241"/>
      <c r="M126" s="241"/>
      <c r="N126" s="242" t="s">
        <v>21</v>
      </c>
      <c r="O126" s="335"/>
      <c r="P126" s="284">
        <f>P124*P125</f>
        <v>0</v>
      </c>
    </row>
    <row r="127" spans="1:102" x14ac:dyDescent="0.55000000000000004">
      <c r="O127" s="191"/>
    </row>
    <row r="128" spans="1:102" x14ac:dyDescent="0.55000000000000004">
      <c r="K128" s="21" t="s">
        <v>249</v>
      </c>
      <c r="N128" s="191" t="s">
        <v>21</v>
      </c>
      <c r="P128" s="139">
        <f>IF($F$14="都道府県",P103,0)</f>
        <v>0</v>
      </c>
    </row>
    <row r="129" spans="1:113" x14ac:dyDescent="0.55000000000000004">
      <c r="C129" s="425"/>
      <c r="D129" s="198"/>
      <c r="E129" s="26"/>
      <c r="K129" s="21" t="s">
        <v>250</v>
      </c>
      <c r="N129" s="191" t="s">
        <v>21</v>
      </c>
      <c r="P129" s="126">
        <f>IF($F$14="市町村",P104,0)</f>
        <v>0</v>
      </c>
    </row>
    <row r="130" spans="1:113" x14ac:dyDescent="0.55000000000000004">
      <c r="C130" s="425"/>
      <c r="D130" s="198"/>
      <c r="E130" s="26"/>
      <c r="F130" s="26"/>
      <c r="P130" s="334"/>
    </row>
    <row r="131" spans="1:113" x14ac:dyDescent="0.55000000000000004">
      <c r="C131" s="425"/>
      <c r="D131" s="198"/>
      <c r="E131" s="26"/>
      <c r="F131" s="26"/>
      <c r="K131" s="21" t="s">
        <v>235</v>
      </c>
      <c r="N131" s="191" t="s">
        <v>21</v>
      </c>
      <c r="P131" s="126">
        <f>IF($F$14=$O$14,0, IF($F$14=$P$14,SUM(P116,P121),SUM(P126)))</f>
        <v>0</v>
      </c>
    </row>
    <row r="132" spans="1:113" x14ac:dyDescent="0.55000000000000004">
      <c r="C132" s="425"/>
      <c r="D132" s="198"/>
      <c r="E132" s="26"/>
      <c r="F132" s="26"/>
      <c r="K132" s="21" t="s">
        <v>252</v>
      </c>
      <c r="N132" s="191" t="s">
        <v>21</v>
      </c>
      <c r="P132" s="126">
        <f>IF($F$14=$O$14, P105, IF($F$14=$P$14,SUM(P116,P121, P128),SUM(P126, P129)))</f>
        <v>0</v>
      </c>
    </row>
    <row r="133" spans="1:113" x14ac:dyDescent="0.55000000000000004">
      <c r="C133" s="425"/>
      <c r="D133" s="198"/>
      <c r="E133" s="26"/>
      <c r="F133" s="26"/>
      <c r="K133" s="21" t="s">
        <v>237</v>
      </c>
      <c r="N133" s="191" t="s">
        <v>21</v>
      </c>
      <c r="P133" s="126">
        <f>IF($F$14=$O$14, 0,IF($F$14=$P$14,SUM(P116,P121, P128),SUM(P129)))</f>
        <v>0</v>
      </c>
    </row>
    <row r="134" spans="1:113" x14ac:dyDescent="0.55000000000000004">
      <c r="C134" s="425"/>
      <c r="D134" s="198"/>
      <c r="E134" s="26"/>
      <c r="F134" s="26"/>
      <c r="O134" s="334"/>
    </row>
    <row r="135" spans="1:113" ht="15.75" customHeight="1" thickBot="1" x14ac:dyDescent="0.6">
      <c r="A135" s="210" t="s">
        <v>45</v>
      </c>
      <c r="B135" s="225"/>
      <c r="C135" s="202"/>
      <c r="D135" s="203"/>
      <c r="E135" s="202"/>
      <c r="F135" s="202"/>
      <c r="G135" s="202"/>
      <c r="H135" s="202"/>
      <c r="I135" s="217" t="s">
        <v>253</v>
      </c>
      <c r="J135" s="225"/>
      <c r="K135" s="202"/>
      <c r="L135" s="202"/>
      <c r="M135" s="202"/>
      <c r="N135" s="202"/>
      <c r="O135" s="202"/>
      <c r="P135" s="202"/>
      <c r="Q135" s="202"/>
      <c r="R135" s="202"/>
      <c r="S135" s="202"/>
      <c r="T135" s="202"/>
      <c r="U135" s="202"/>
      <c r="AK135" s="24"/>
      <c r="AL135" s="24"/>
      <c r="AM135" s="24"/>
      <c r="AN135" s="24"/>
      <c r="AO135" s="24"/>
      <c r="AT135" s="25"/>
      <c r="AU135" s="25"/>
      <c r="AV135" s="26"/>
      <c r="AW135" s="25"/>
      <c r="BE135" s="24"/>
      <c r="BF135" s="24"/>
      <c r="BG135" s="24"/>
      <c r="BS135" s="22"/>
      <c r="BT135" s="26"/>
      <c r="BU135" s="22"/>
      <c r="BW135" s="24"/>
      <c r="BX135" s="24"/>
      <c r="CG135" s="24"/>
      <c r="CH135" s="24"/>
      <c r="CI135" s="24"/>
      <c r="CJ135" s="24"/>
      <c r="CK135" s="24"/>
      <c r="CL135" s="24"/>
      <c r="CM135" s="24"/>
      <c r="CN135" s="24"/>
      <c r="CO135" s="24"/>
      <c r="CP135" s="24"/>
      <c r="CQ135" s="24"/>
      <c r="CR135" s="24"/>
      <c r="CS135" s="24"/>
      <c r="CT135" s="24"/>
      <c r="CU135" s="22"/>
      <c r="CV135" s="24"/>
      <c r="CW135" s="24"/>
      <c r="CX135" s="24"/>
      <c r="CY135" s="24"/>
      <c r="CZ135" s="24"/>
      <c r="DA135" s="22"/>
      <c r="DB135" s="24"/>
      <c r="DC135" s="24"/>
      <c r="DE135" s="22"/>
      <c r="DF135" s="22"/>
      <c r="DG135" s="22"/>
      <c r="DH135" s="22"/>
      <c r="DI135" s="22"/>
    </row>
    <row r="136" spans="1:113" ht="15.75" customHeight="1" x14ac:dyDescent="0.55000000000000004">
      <c r="A136" s="207"/>
      <c r="B136" s="223"/>
      <c r="I136" s="214"/>
      <c r="J136" s="223"/>
      <c r="AK136" s="24"/>
      <c r="AL136" s="24"/>
      <c r="AM136" s="24"/>
      <c r="AN136" s="24"/>
      <c r="AO136" s="24"/>
      <c r="AT136" s="25"/>
      <c r="AU136" s="25"/>
      <c r="AV136" s="26"/>
      <c r="AW136" s="25"/>
      <c r="BE136" s="24"/>
      <c r="BF136" s="24"/>
      <c r="BG136" s="24"/>
      <c r="BS136" s="22"/>
      <c r="BT136" s="26"/>
      <c r="BU136" s="22"/>
      <c r="BW136" s="24"/>
      <c r="BX136" s="24"/>
      <c r="CG136" s="24"/>
      <c r="CH136" s="24"/>
      <c r="CI136" s="24"/>
      <c r="CJ136" s="24"/>
      <c r="CK136" s="24"/>
      <c r="CL136" s="24"/>
      <c r="CM136" s="24"/>
      <c r="CN136" s="24"/>
      <c r="CO136" s="24"/>
      <c r="CP136" s="24"/>
      <c r="CQ136" s="24"/>
      <c r="CR136" s="24"/>
      <c r="CS136" s="24"/>
      <c r="CT136" s="24"/>
      <c r="CU136" s="22"/>
      <c r="CV136" s="24"/>
      <c r="CW136" s="24"/>
      <c r="CX136" s="24"/>
      <c r="CY136" s="24"/>
      <c r="CZ136" s="24"/>
      <c r="DA136" s="22"/>
      <c r="DB136" s="24"/>
      <c r="DC136" s="24"/>
      <c r="DE136" s="22"/>
      <c r="DF136" s="22"/>
      <c r="DG136" s="22"/>
      <c r="DH136" s="22"/>
      <c r="DI136" s="22"/>
    </row>
    <row r="137" spans="1:113" ht="15.75" customHeight="1" x14ac:dyDescent="0.55000000000000004">
      <c r="A137" s="207"/>
      <c r="B137" s="223" t="s">
        <v>254</v>
      </c>
      <c r="C137" s="422"/>
      <c r="D137" s="198"/>
      <c r="E137" s="26"/>
      <c r="I137" s="214"/>
      <c r="J137" s="223" t="s">
        <v>254</v>
      </c>
      <c r="N137" s="21"/>
      <c r="O137" s="21" t="s">
        <v>18</v>
      </c>
      <c r="P137" s="21" t="s">
        <v>200</v>
      </c>
      <c r="AK137" s="24"/>
      <c r="AL137" s="24"/>
      <c r="AM137" s="24"/>
      <c r="AN137" s="24"/>
      <c r="AO137" s="24"/>
      <c r="AT137" s="25"/>
      <c r="AU137" s="25"/>
      <c r="AV137" s="26"/>
      <c r="AW137" s="25"/>
      <c r="BE137" s="24"/>
      <c r="BF137" s="24"/>
      <c r="BG137" s="24"/>
      <c r="BS137" s="22"/>
      <c r="BT137" s="26"/>
      <c r="BU137" s="22"/>
      <c r="BW137" s="24"/>
      <c r="BX137" s="24"/>
      <c r="CG137" s="24"/>
      <c r="CH137" s="24"/>
      <c r="CI137" s="24"/>
      <c r="CJ137" s="24"/>
      <c r="CK137" s="24"/>
      <c r="CL137" s="24"/>
      <c r="CM137" s="24"/>
      <c r="CN137" s="24"/>
      <c r="CO137" s="24"/>
      <c r="CP137" s="24"/>
      <c r="CQ137" s="24"/>
      <c r="CR137" s="24"/>
      <c r="CS137" s="24"/>
      <c r="CT137" s="24"/>
      <c r="CU137" s="22"/>
      <c r="CV137" s="24"/>
      <c r="CW137" s="24"/>
      <c r="CX137" s="24"/>
      <c r="CY137" s="24"/>
      <c r="CZ137" s="24"/>
      <c r="DA137" s="22"/>
      <c r="DB137" s="24"/>
      <c r="DC137" s="24"/>
      <c r="DE137" s="22"/>
      <c r="DF137" s="22"/>
      <c r="DG137" s="22"/>
      <c r="DH137" s="22"/>
      <c r="DI137" s="22"/>
    </row>
    <row r="138" spans="1:113" x14ac:dyDescent="0.45">
      <c r="A138" s="35"/>
      <c r="C138" s="21" t="s">
        <v>181</v>
      </c>
      <c r="D138" s="191" t="s">
        <v>21</v>
      </c>
      <c r="F138" s="150">
        <v>30</v>
      </c>
      <c r="K138" s="21" t="s">
        <v>181</v>
      </c>
      <c r="N138" s="191" t="s">
        <v>21</v>
      </c>
      <c r="O138" s="174">
        <f>F138</f>
        <v>30</v>
      </c>
      <c r="P138" s="169"/>
    </row>
    <row r="139" spans="1:113" x14ac:dyDescent="0.45">
      <c r="C139" s="21" t="s">
        <v>256</v>
      </c>
      <c r="D139" s="191" t="s">
        <v>21</v>
      </c>
      <c r="F139" s="150">
        <v>12</v>
      </c>
      <c r="K139" s="21" t="s">
        <v>134</v>
      </c>
      <c r="N139" s="191" t="s">
        <v>21</v>
      </c>
      <c r="O139" s="175">
        <f>F139*O18</f>
        <v>276</v>
      </c>
      <c r="P139" s="169"/>
    </row>
    <row r="140" spans="1:113" x14ac:dyDescent="0.45">
      <c r="C140" s="21" t="s">
        <v>258</v>
      </c>
      <c r="D140" s="191" t="s">
        <v>21</v>
      </c>
      <c r="F140" s="150">
        <v>100</v>
      </c>
      <c r="K140" s="21" t="s">
        <v>258</v>
      </c>
      <c r="N140" s="191" t="s">
        <v>21</v>
      </c>
      <c r="O140" s="174">
        <f>F140</f>
        <v>100</v>
      </c>
      <c r="P140" s="169"/>
    </row>
    <row r="141" spans="1:113" x14ac:dyDescent="0.45">
      <c r="K141" s="21" t="s">
        <v>311</v>
      </c>
      <c r="M141" s="21" t="s">
        <v>261</v>
      </c>
      <c r="N141" s="191" t="s">
        <v>25</v>
      </c>
      <c r="O141" s="144">
        <f>F83</f>
        <v>1.95E-2</v>
      </c>
      <c r="P141" s="169"/>
    </row>
    <row r="142" spans="1:113" x14ac:dyDescent="0.45">
      <c r="M142" s="21" t="s">
        <v>262</v>
      </c>
      <c r="N142" s="191" t="s">
        <v>25</v>
      </c>
      <c r="O142" s="145">
        <f>P87</f>
        <v>2.7833999999999998E-2</v>
      </c>
      <c r="P142" s="169"/>
    </row>
    <row r="143" spans="1:113" x14ac:dyDescent="0.45">
      <c r="M143" s="21" t="s">
        <v>263</v>
      </c>
      <c r="N143" s="191" t="s">
        <v>25</v>
      </c>
      <c r="O143" s="140">
        <f>O142-O141</f>
        <v>8.3339999999999977E-3</v>
      </c>
      <c r="P143" s="169"/>
    </row>
    <row r="144" spans="1:113" x14ac:dyDescent="0.45">
      <c r="M144" s="141" t="s">
        <v>264</v>
      </c>
      <c r="N144" s="191" t="s">
        <v>21</v>
      </c>
      <c r="O144" s="176">
        <f>SUM(AK18:AK47)</f>
        <v>126.15300503547348</v>
      </c>
      <c r="P144" s="169"/>
    </row>
    <row r="145" spans="2:84" x14ac:dyDescent="0.55000000000000004"/>
    <row r="146" spans="2:84" s="142" customFormat="1" ht="15" customHeight="1" thickBot="1" x14ac:dyDescent="0.6">
      <c r="B146" s="142" t="s">
        <v>265</v>
      </c>
      <c r="C146" s="424"/>
      <c r="D146" s="190"/>
      <c r="E146" s="167"/>
      <c r="F146" s="167"/>
      <c r="I146" s="333"/>
      <c r="J146" s="188"/>
      <c r="N146" s="190"/>
      <c r="O146" s="167"/>
      <c r="P146" s="167"/>
      <c r="T146" s="190"/>
      <c r="V146" s="296"/>
      <c r="BY146" s="24"/>
      <c r="BZ146" s="22"/>
      <c r="CA146" s="22"/>
      <c r="CB146" s="22"/>
      <c r="CC146" s="22"/>
      <c r="CD146" s="22"/>
      <c r="CE146" s="21"/>
      <c r="CF146" s="21"/>
    </row>
    <row r="147" spans="2:84" ht="17" thickTop="1" x14ac:dyDescent="0.55000000000000004"/>
    <row r="148" spans="2:84" x14ac:dyDescent="0.55000000000000004"/>
    <row r="149" spans="2:84" x14ac:dyDescent="0.55000000000000004"/>
    <row r="150" spans="2:84" x14ac:dyDescent="0.55000000000000004"/>
    <row r="151" spans="2:84" x14ac:dyDescent="0.55000000000000004"/>
    <row r="152" spans="2:84" x14ac:dyDescent="0.55000000000000004"/>
    <row r="153" spans="2:84" x14ac:dyDescent="0.55000000000000004"/>
    <row r="154" spans="2:84" x14ac:dyDescent="0.55000000000000004"/>
    <row r="155" spans="2:84" x14ac:dyDescent="0.55000000000000004"/>
    <row r="156" spans="2:84" x14ac:dyDescent="0.55000000000000004"/>
    <row r="157" spans="2:84" x14ac:dyDescent="0.55000000000000004"/>
    <row r="158" spans="2:84" x14ac:dyDescent="0.55000000000000004"/>
    <row r="159" spans="2:84" x14ac:dyDescent="0.55000000000000004"/>
    <row r="160" spans="2:84" x14ac:dyDescent="0.55000000000000004"/>
    <row r="161" spans="77:84" x14ac:dyDescent="0.55000000000000004"/>
    <row r="162" spans="77:84" x14ac:dyDescent="0.55000000000000004"/>
    <row r="163" spans="77:84" x14ac:dyDescent="0.55000000000000004"/>
    <row r="164" spans="77:84" x14ac:dyDescent="0.55000000000000004"/>
    <row r="165" spans="77:84" x14ac:dyDescent="0.55000000000000004"/>
    <row r="166" spans="77:84" x14ac:dyDescent="0.55000000000000004"/>
    <row r="167" spans="77:84" x14ac:dyDescent="0.55000000000000004"/>
    <row r="168" spans="77:84" ht="18" thickBot="1" x14ac:dyDescent="0.6">
      <c r="BY168" s="142"/>
      <c r="BZ168" s="142"/>
      <c r="CA168" s="142"/>
      <c r="CB168" s="142"/>
      <c r="CC168" s="142"/>
      <c r="CD168" s="142"/>
      <c r="CE168" s="142"/>
      <c r="CF168" s="142"/>
    </row>
    <row r="169" spans="77:84" ht="17" thickTop="1" x14ac:dyDescent="0.55000000000000004"/>
    <row r="170" spans="77:84" x14ac:dyDescent="0.55000000000000004"/>
    <row r="171" spans="77:84" x14ac:dyDescent="0.55000000000000004"/>
    <row r="172" spans="77:84" x14ac:dyDescent="0.55000000000000004"/>
    <row r="173" spans="77:84" x14ac:dyDescent="0.55000000000000004"/>
    <row r="174" spans="77:84" x14ac:dyDescent="0.55000000000000004"/>
    <row r="175" spans="77:84" x14ac:dyDescent="0.55000000000000004"/>
    <row r="176" spans="77:84" x14ac:dyDescent="0.55000000000000004"/>
    <row r="177" x14ac:dyDescent="0.55000000000000004"/>
    <row r="178" x14ac:dyDescent="0.55000000000000004"/>
    <row r="179" x14ac:dyDescent="0.55000000000000004"/>
    <row r="180" x14ac:dyDescent="0.55000000000000004"/>
    <row r="181" x14ac:dyDescent="0.55000000000000004"/>
  </sheetData>
  <sheetProtection algorithmName="SHA-512" hashValue="JR3N8RfMhNT5SK/9Xq6CeuXP2QLTajzWBeZsYGXfW6c/D+fBS/yBgwCT7CAwS1uYtx0+LnVqOGu/QfQRnSRH6w==" saltValue="ysY7Ep4j4RjOrYM3PsxTsw==" spinCount="100000" sheet="1" formatCells="0" formatRows="0" insertColumns="0" insertRows="0" insertHyperlinks="0" deleteColumns="0" deleteRows="0" sort="0" autoFilter="0" pivotTables="0"/>
  <phoneticPr fontId="2"/>
  <dataValidations count="1">
    <dataValidation type="list" allowBlank="1" showInputMessage="1" showErrorMessage="1" sqref="F14" xr:uid="{A255AE35-3C5C-4046-BC1C-FE264D2DF02A}">
      <formula1>$O$14:$R$14</formula1>
    </dataValidation>
  </dataValidations>
  <pageMargins left="0.23622047244094491" right="0.23622047244094491" top="0.74803149606299213" bottom="0.74803149606299213" header="0.31496062992125984" footer="0.31496062992125984"/>
  <pageSetup paperSize="8" scale="22" fitToHeight="0" orientation="landscape" r:id="rId1"/>
  <colBreaks count="2" manualBreakCount="2">
    <brk id="21" max="145" man="1"/>
    <brk id="58" max="14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C23A51B9CB9D3408D09066C0761DEF3" ma:contentTypeVersion="16" ma:contentTypeDescription="新しいドキュメントを作成します。" ma:contentTypeScope="" ma:versionID="dfdbfa3ed85447e5aa4fd9346720d158">
  <xsd:schema xmlns:xsd="http://www.w3.org/2001/XMLSchema" xmlns:xs="http://www.w3.org/2001/XMLSchema" xmlns:p="http://schemas.microsoft.com/office/2006/metadata/properties" xmlns:ns2="5b32e09f-4ad0-42ec-80ce-a1cc684e81ce" xmlns:ns3="307bff3f-f9bd-4b5d-b86e-6a51af770dea" targetNamespace="http://schemas.microsoft.com/office/2006/metadata/properties" ma:root="true" ma:fieldsID="5b52c73af3f30df303956e541762ba59" ns2:_="" ns3:_="">
    <xsd:import namespace="5b32e09f-4ad0-42ec-80ce-a1cc684e81ce"/>
    <xsd:import namespace="307bff3f-f9bd-4b5d-b86e-6a51af770d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2e09f-4ad0-42ec-80ce-a1cc684e81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7bff3f-f9bd-4b5d-b86e-6a51af770dea"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4002d62c-548c-4315-a56b-1b516ce341f0}" ma:internalName="TaxCatchAll" ma:showField="CatchAllData" ma:web="307bff3f-f9bd-4b5d-b86e-6a51af770d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32e09f-4ad0-42ec-80ce-a1cc684e81ce">
      <Terms xmlns="http://schemas.microsoft.com/office/infopath/2007/PartnerControls"/>
    </lcf76f155ced4ddcb4097134ff3c332f>
    <TaxCatchAll xmlns="307bff3f-f9bd-4b5d-b86e-6a51af770dea" xsi:nil="true"/>
  </documentManagement>
</p:properties>
</file>

<file path=customXml/itemProps1.xml><?xml version="1.0" encoding="utf-8"?>
<ds:datastoreItem xmlns:ds="http://schemas.openxmlformats.org/officeDocument/2006/customXml" ds:itemID="{739DBC05-0CFB-4386-B28D-99B9E82DF433}"/>
</file>

<file path=customXml/itemProps2.xml><?xml version="1.0" encoding="utf-8"?>
<ds:datastoreItem xmlns:ds="http://schemas.openxmlformats.org/officeDocument/2006/customXml" ds:itemID="{51D5B714-E29B-4AF9-AB21-FA7913A73B60}"/>
</file>

<file path=customXml/itemProps3.xml><?xml version="1.0" encoding="utf-8"?>
<ds:datastoreItem xmlns:ds="http://schemas.openxmlformats.org/officeDocument/2006/customXml" ds:itemID="{E304C99B-83D3-4267-AE40-39D0ACFAF5D6}"/>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Disclaimer</vt:lpstr>
      <vt:lpstr>説明用アウトプットシート</vt:lpstr>
      <vt:lpstr>&gt;事業費入力</vt:lpstr>
      <vt:lpstr>事業費用概算</vt:lpstr>
      <vt:lpstr>＞各スキーム</vt:lpstr>
      <vt:lpstr>DB</vt:lpstr>
      <vt:lpstr>BT</vt:lpstr>
      <vt:lpstr>DBO</vt:lpstr>
      <vt:lpstr>BTO(RO)</vt:lpstr>
      <vt:lpstr>BOT・BOO</vt:lpstr>
      <vt:lpstr>O</vt:lpstr>
      <vt:lpstr>BT+コンセッション</vt:lpstr>
      <vt:lpstr>BOT・BOO!Print_Area</vt:lpstr>
      <vt:lpstr>BT!Print_Area</vt:lpstr>
      <vt:lpstr>'BT+コンセッション'!Print_Area</vt:lpstr>
      <vt:lpstr>'BTO(RO)'!Print_Area</vt:lpstr>
      <vt:lpstr>DB!Print_Area</vt:lpstr>
      <vt:lpstr>DBO!Print_Area</vt:lpstr>
      <vt:lpstr>Disclaimer!Print_Area</vt:lpstr>
      <vt:lpstr>O!Print_Area</vt:lpstr>
      <vt:lpstr>事業費用概算!Print_Area</vt:lpstr>
      <vt:lpstr>説明用アウトプットシート!Print_Area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2026-07-30T02:52:15Z</dcterms:created>
  <dcterms:modified xsi:type="dcterms:W3CDTF">2026-07-30T06:46:50Z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ContentBits">
    <vt:lpwstr>0</vt:lpwstr>
  </property>
  <property fmtid="{D5CDD505-2E9C-101B-9397-08002B2CF9AE}" pid="3" name="MSIP_Label_ea60d57e-af5b-4752-ac57-3e4f28ca11dc_Enabled">
    <vt:lpwstr>true</vt:lpwstr>
  </property>
  <property fmtid="{D5CDD505-2E9C-101B-9397-08002B2CF9AE}" pid="4" name="MSIP_Label_ea60d57e-af5b-4752-ac57-3e4f28ca11dc_Name">
    <vt:lpwstr>ea60d57e-af5b-4752-ac57-3e4f28ca11dc</vt:lpwstr>
  </property>
  <property fmtid="{D5CDD505-2E9C-101B-9397-08002B2CF9AE}" pid="5" name="MediaServiceImageTags">
    <vt:lpwstr/>
  </property>
  <property fmtid="{D5CDD505-2E9C-101B-9397-08002B2CF9AE}" pid="6" name="MSIP_Label_ea60d57e-af5b-4752-ac57-3e4f28ca11dc_SetDate">
    <vt:lpwstr>2024-03-12T07:05:52Z</vt:lpwstr>
  </property>
  <property fmtid="{D5CDD505-2E9C-101B-9397-08002B2CF9AE}" pid="7" name="ContentTypeId">
    <vt:lpwstr>0x010100AC23A51B9CB9D3408D09066C0761DEF3</vt:lpwstr>
  </property>
  <property fmtid="{D5CDD505-2E9C-101B-9397-08002B2CF9AE}" pid="8" name="MSIP_Label_ea60d57e-af5b-4752-ac57-3e4f28ca11dc_ActionId">
    <vt:lpwstr>d9b3a079-126a-4b6f-90c9-06c2d6d262c4</vt:lpwstr>
  </property>
  <property fmtid="{D5CDD505-2E9C-101B-9397-08002B2CF9AE}" pid="9" name="MSIP_Label_ea60d57e-af5b-4752-ac57-3e4f28ca11dc_SiteId">
    <vt:lpwstr>36da45f1-dd2c-4d1f-af13-5abe46b99921</vt:lpwstr>
  </property>
  <property fmtid="{D5CDD505-2E9C-101B-9397-08002B2CF9AE}" pid="10" name="MSIP_Label_ea60d57e-af5b-4752-ac57-3e4f28ca11dc_Method">
    <vt:lpwstr>Standard</vt:lpwstr>
  </property>
</Properties>
</file>